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95" windowHeight="7425"/>
  </bookViews>
  <sheets>
    <sheet name="Приложение 9 " sheetId="5" r:id="rId1"/>
    <sheet name="Приложение 10" sheetId="2" r:id="rId2"/>
    <sheet name="Приложение 12" sheetId="3" r:id="rId3"/>
    <sheet name="Приложение 13" sheetId="4" r:id="rId4"/>
    <sheet name="Эффективность программы" sheetId="6" r:id="rId5"/>
  </sheets>
  <definedNames>
    <definedName name="_xlnm.Print_Titles" localSheetId="1">'Приложение 10'!$21:$23</definedName>
    <definedName name="_xlnm.Print_Titles" localSheetId="2">'Приложение 12'!$19:$21</definedName>
    <definedName name="_xlnm.Print_Titles" localSheetId="3">'Приложение 13'!$18:$19</definedName>
    <definedName name="_xlnm.Print_Titles" localSheetId="0">'Приложение 9 '!$20:$22</definedName>
    <definedName name="_xlnm.Print_Titles" localSheetId="4">'Эффективность программы'!$8:$11</definedName>
  </definedNames>
  <calcPr calcId="145621"/>
</workbook>
</file>

<file path=xl/calcChain.xml><?xml version="1.0" encoding="utf-8"?>
<calcChain xmlns="http://schemas.openxmlformats.org/spreadsheetml/2006/main">
  <c r="H78" i="6" l="1"/>
  <c r="H77" i="6"/>
  <c r="F77" i="6"/>
  <c r="H74" i="6"/>
  <c r="F74" i="6"/>
  <c r="H73" i="6"/>
  <c r="H75" i="6" s="1"/>
  <c r="F73" i="6"/>
  <c r="H69" i="6"/>
  <c r="F69" i="6"/>
  <c r="H68" i="6"/>
  <c r="F68" i="6"/>
  <c r="H67" i="6"/>
  <c r="F67" i="6"/>
  <c r="H66" i="6"/>
  <c r="F66" i="6"/>
  <c r="H64" i="6"/>
  <c r="F64" i="6"/>
  <c r="H63" i="6"/>
  <c r="F63" i="6"/>
  <c r="H62" i="6"/>
  <c r="F62" i="6"/>
  <c r="H61" i="6"/>
  <c r="F61" i="6"/>
  <c r="H60" i="6"/>
  <c r="H71" i="6" s="1"/>
  <c r="F60" i="6"/>
  <c r="H57" i="6"/>
  <c r="F57" i="6"/>
  <c r="H56" i="6"/>
  <c r="F56" i="6"/>
  <c r="H55" i="6"/>
  <c r="F55" i="6"/>
  <c r="H54" i="6"/>
  <c r="F54" i="6"/>
  <c r="H52" i="6"/>
  <c r="F52" i="6"/>
  <c r="H51" i="6"/>
  <c r="F51" i="6"/>
  <c r="H48" i="6"/>
  <c r="F48" i="6"/>
  <c r="H47" i="6"/>
  <c r="F47" i="6"/>
  <c r="H46" i="6"/>
  <c r="F46" i="6"/>
  <c r="H45" i="6"/>
  <c r="H58" i="6" s="1"/>
  <c r="F45" i="6"/>
  <c r="H41" i="6"/>
  <c r="F41" i="6"/>
  <c r="H37" i="6"/>
  <c r="H42" i="6" s="1"/>
  <c r="F37" i="6"/>
  <c r="H34" i="6"/>
  <c r="H35" i="6" s="1"/>
  <c r="F34" i="6"/>
  <c r="H31" i="6"/>
  <c r="F31" i="6"/>
  <c r="H30" i="6"/>
  <c r="H32" i="6" s="1"/>
  <c r="F30" i="6"/>
  <c r="H27" i="6"/>
  <c r="F27" i="6"/>
  <c r="H26" i="6"/>
  <c r="F26" i="6"/>
  <c r="H25" i="6"/>
  <c r="H28" i="6" s="1"/>
  <c r="F25" i="6"/>
  <c r="H22" i="6"/>
  <c r="F22" i="6"/>
  <c r="H21" i="6"/>
  <c r="F21" i="6"/>
  <c r="H20" i="6"/>
  <c r="F20" i="6"/>
  <c r="H19" i="6"/>
  <c r="F19" i="6"/>
  <c r="H18" i="6"/>
  <c r="F18" i="6"/>
  <c r="H17" i="6"/>
  <c r="F17" i="6"/>
  <c r="H16" i="6"/>
  <c r="F16" i="6"/>
  <c r="H15" i="6"/>
  <c r="F15" i="6"/>
  <c r="H14" i="6"/>
  <c r="H23" i="6" s="1"/>
  <c r="F14" i="6"/>
  <c r="F34" i="5" l="1"/>
  <c r="F349" i="4" l="1"/>
  <c r="E349" i="4"/>
  <c r="E344" i="4"/>
  <c r="F343" i="4"/>
  <c r="F342" i="4"/>
  <c r="E342" i="4"/>
  <c r="E337" i="4"/>
  <c r="F336" i="4"/>
  <c r="F335" i="4"/>
  <c r="E335" i="4"/>
  <c r="F334" i="4"/>
  <c r="E334" i="4"/>
  <c r="F333" i="4"/>
  <c r="E333" i="4"/>
  <c r="F332" i="4"/>
  <c r="E332" i="4"/>
  <c r="F331" i="4"/>
  <c r="E331" i="4"/>
  <c r="F330" i="4"/>
  <c r="E330" i="4"/>
  <c r="F329" i="4"/>
  <c r="E329" i="4"/>
  <c r="F328" i="4"/>
  <c r="E328" i="4"/>
  <c r="F321" i="4"/>
  <c r="E321" i="4"/>
  <c r="F314" i="4"/>
  <c r="E314" i="4"/>
  <c r="F308" i="4"/>
  <c r="E308" i="4"/>
  <c r="F307" i="4"/>
  <c r="E307" i="4"/>
  <c r="F301" i="4"/>
  <c r="E301" i="4"/>
  <c r="F300" i="4"/>
  <c r="E300" i="4"/>
  <c r="F299" i="4"/>
  <c r="E299" i="4"/>
  <c r="F298" i="4"/>
  <c r="E298" i="4"/>
  <c r="F297" i="4"/>
  <c r="E297" i="4"/>
  <c r="F296" i="4"/>
  <c r="E296" i="4"/>
  <c r="F295" i="4"/>
  <c r="E295" i="4"/>
  <c r="F294" i="4"/>
  <c r="E294" i="4"/>
  <c r="F293" i="4"/>
  <c r="E293" i="4"/>
  <c r="F292" i="4"/>
  <c r="F286" i="4" s="1"/>
  <c r="F287" i="4"/>
  <c r="E287" i="4"/>
  <c r="E286" i="4" s="1"/>
  <c r="E285" i="4"/>
  <c r="E281" i="4"/>
  <c r="F279" i="4"/>
  <c r="E279" i="4"/>
  <c r="F278" i="4"/>
  <c r="E278" i="4"/>
  <c r="E274" i="4"/>
  <c r="F273" i="4"/>
  <c r="E273" i="4"/>
  <c r="F272" i="4"/>
  <c r="E272" i="4"/>
  <c r="F271" i="4"/>
  <c r="E271" i="4"/>
  <c r="F270" i="4"/>
  <c r="E270" i="4"/>
  <c r="F269" i="4"/>
  <c r="E269" i="4"/>
  <c r="F268" i="4"/>
  <c r="E268" i="4"/>
  <c r="F267" i="4"/>
  <c r="E267" i="4"/>
  <c r="F266" i="4"/>
  <c r="E266" i="4"/>
  <c r="F265" i="4"/>
  <c r="E265" i="4"/>
  <c r="F258" i="4"/>
  <c r="E258" i="4"/>
  <c r="F251" i="4"/>
  <c r="E251" i="4"/>
  <c r="F246" i="4"/>
  <c r="E246" i="4"/>
  <c r="F245" i="4"/>
  <c r="E245" i="4"/>
  <c r="F244" i="4"/>
  <c r="E244" i="4"/>
  <c r="F237" i="4"/>
  <c r="E237" i="4"/>
  <c r="F236" i="4"/>
  <c r="F231" i="4"/>
  <c r="E231" i="4"/>
  <c r="F230" i="4"/>
  <c r="E230" i="4"/>
  <c r="F223" i="4"/>
  <c r="E223" i="4"/>
  <c r="F216" i="4"/>
  <c r="E216" i="4"/>
  <c r="F215" i="4"/>
  <c r="E215" i="4"/>
  <c r="F214" i="4"/>
  <c r="E214" i="4"/>
  <c r="F213" i="4"/>
  <c r="E213" i="4"/>
  <c r="F212" i="4"/>
  <c r="E212" i="4"/>
  <c r="F211" i="4"/>
  <c r="E211" i="4"/>
  <c r="F210" i="4"/>
  <c r="E210" i="4"/>
  <c r="F209" i="4"/>
  <c r="E209" i="4"/>
  <c r="F202" i="4"/>
  <c r="E202" i="4"/>
  <c r="E197" i="4"/>
  <c r="F195" i="4"/>
  <c r="E195" i="4"/>
  <c r="E190" i="4"/>
  <c r="F188" i="4"/>
  <c r="E188" i="4"/>
  <c r="F187" i="4"/>
  <c r="E187" i="4"/>
  <c r="F186" i="4"/>
  <c r="E186" i="4"/>
  <c r="F185" i="4"/>
  <c r="E185" i="4"/>
  <c r="F184" i="4"/>
  <c r="E184" i="4"/>
  <c r="F183" i="4"/>
  <c r="E183" i="4"/>
  <c r="F182" i="4"/>
  <c r="E182" i="4"/>
  <c r="F181" i="4"/>
  <c r="E181" i="4"/>
  <c r="F174" i="4"/>
  <c r="E174" i="4"/>
  <c r="F167" i="4"/>
  <c r="E167" i="4"/>
  <c r="F160" i="4"/>
  <c r="E160" i="4"/>
  <c r="E155" i="4"/>
  <c r="F154" i="4"/>
  <c r="E154" i="4"/>
  <c r="F153" i="4"/>
  <c r="E153" i="4"/>
  <c r="F146" i="4"/>
  <c r="E146" i="4"/>
  <c r="F145" i="4"/>
  <c r="E145" i="4"/>
  <c r="F144" i="4"/>
  <c r="E144" i="4"/>
  <c r="F143" i="4"/>
  <c r="E143" i="4"/>
  <c r="F142" i="4"/>
  <c r="E142" i="4"/>
  <c r="F141" i="4"/>
  <c r="E141" i="4"/>
  <c r="F140" i="4"/>
  <c r="E140" i="4"/>
  <c r="F139" i="4"/>
  <c r="E139" i="4"/>
  <c r="F138" i="4"/>
  <c r="F132" i="4" s="1"/>
  <c r="F104" i="4" s="1"/>
  <c r="F133" i="4"/>
  <c r="E133" i="4"/>
  <c r="E132" i="4"/>
  <c r="F131" i="4"/>
  <c r="F126" i="4"/>
  <c r="E126" i="4"/>
  <c r="F125" i="4"/>
  <c r="E125" i="4"/>
  <c r="F119" i="4"/>
  <c r="E119" i="4"/>
  <c r="F118" i="4"/>
  <c r="E118" i="4"/>
  <c r="F117" i="4"/>
  <c r="E113" i="4"/>
  <c r="F112" i="4"/>
  <c r="E112" i="4"/>
  <c r="F111" i="4"/>
  <c r="E111" i="4"/>
  <c r="F110" i="4"/>
  <c r="E110" i="4"/>
  <c r="F109" i="4"/>
  <c r="E109" i="4"/>
  <c r="F108" i="4"/>
  <c r="E108" i="4"/>
  <c r="F107" i="4"/>
  <c r="E107" i="4"/>
  <c r="F106" i="4"/>
  <c r="E106" i="4"/>
  <c r="F105" i="4"/>
  <c r="E105" i="4"/>
  <c r="E104" i="4"/>
  <c r="E99" i="4"/>
  <c r="F97" i="4"/>
  <c r="E97" i="4"/>
  <c r="F90" i="4"/>
  <c r="E90" i="4"/>
  <c r="F89" i="4"/>
  <c r="F83" i="4"/>
  <c r="E83" i="4"/>
  <c r="F76" i="4"/>
  <c r="E76" i="4"/>
  <c r="F75" i="4"/>
  <c r="E75" i="4"/>
  <c r="E71" i="4"/>
  <c r="F69" i="4"/>
  <c r="E69" i="4"/>
  <c r="F68" i="4"/>
  <c r="F62" i="4"/>
  <c r="E62" i="4"/>
  <c r="F61" i="4"/>
  <c r="E61" i="4"/>
  <c r="E57" i="4"/>
  <c r="F55" i="4"/>
  <c r="E55" i="4"/>
  <c r="F49" i="4"/>
  <c r="E49" i="4"/>
  <c r="F48" i="4"/>
  <c r="E48" i="4"/>
  <c r="F42" i="4"/>
  <c r="E42" i="4"/>
  <c r="F41" i="4"/>
  <c r="E41" i="4"/>
  <c r="F40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H23" i="3"/>
  <c r="I23" i="3"/>
  <c r="J23" i="3"/>
  <c r="J26" i="3"/>
  <c r="H27" i="3"/>
  <c r="I27" i="3"/>
  <c r="J27" i="3"/>
  <c r="H36" i="3"/>
  <c r="I36" i="3"/>
  <c r="J36" i="3"/>
  <c r="H41" i="3"/>
  <c r="I41" i="3"/>
  <c r="J41" i="3"/>
  <c r="H47" i="3"/>
  <c r="I47" i="3"/>
  <c r="J47" i="3"/>
  <c r="H51" i="3"/>
  <c r="I56" i="3"/>
  <c r="I51" i="3" s="1"/>
  <c r="J56" i="3"/>
  <c r="J51" i="3" s="1"/>
  <c r="H60" i="3"/>
  <c r="I60" i="3"/>
  <c r="J60" i="3"/>
  <c r="H65" i="3"/>
  <c r="I65" i="3"/>
  <c r="I59" i="3" s="1"/>
  <c r="J65" i="3"/>
  <c r="H69" i="3"/>
  <c r="I69" i="3"/>
  <c r="J69" i="3"/>
  <c r="H73" i="3"/>
  <c r="I73" i="3"/>
  <c r="J73" i="3"/>
  <c r="H77" i="3"/>
  <c r="I77" i="3"/>
  <c r="J77" i="3"/>
  <c r="J59" i="3" l="1"/>
  <c r="H59" i="3"/>
  <c r="I22" i="3"/>
  <c r="J22" i="3"/>
  <c r="H22" i="3"/>
</calcChain>
</file>

<file path=xl/comments1.xml><?xml version="1.0" encoding="utf-8"?>
<comments xmlns="http://schemas.openxmlformats.org/spreadsheetml/2006/main">
  <authors>
    <author>Сакун Анна Сергеевна</author>
  </authors>
  <commentList>
    <comment ref="G25" authorId="0">
      <text>
        <r>
          <rPr>
            <b/>
            <sz val="8"/>
            <color indexed="81"/>
            <rFont val="Tahoma"/>
            <charset val="1"/>
          </rPr>
          <t>Сакун Анна Сергеевна:</t>
        </r>
        <r>
          <rPr>
            <sz val="8"/>
            <color indexed="81"/>
            <rFont val="Tahoma"/>
            <charset val="1"/>
          </rPr>
          <t xml:space="preserve">
оперативная информация от Примстата: primstat.gks.ru\
БГД\Статистика Приморья 2015\Экспресс анализ по основным вопросам\ Сельское хозяйство\О стоимости валовой продукции сельского хозяйства за 2014 год (прилагается)</t>
        </r>
      </text>
    </comment>
    <comment ref="G26" authorId="0">
      <text>
        <r>
          <rPr>
            <sz val="8"/>
            <color indexed="81"/>
            <rFont val="Tahoma"/>
            <family val="2"/>
            <charset val="204"/>
          </rPr>
          <t>оперативная информация от Примстата: primstat.gks.ru\
БГД\Статистика Приморья 2015\Экспресс анализ по основным вопросам\ Сельское хозяйство\О стоимости валовой продукции сельского хозяйства за 2014 год (прилагается)</t>
        </r>
      </text>
    </comment>
    <comment ref="G27" authorId="0">
      <text>
        <r>
          <rPr>
            <sz val="8"/>
            <color indexed="81"/>
            <rFont val="Tahoma"/>
            <family val="2"/>
            <charset val="204"/>
          </rPr>
          <t>оперативная информация от Примстата: primstat.gks.ru\
БГД\Статистика Приморья 2015\Экспресс анализ по основным вопросам\ Сельское хозяйство\О стоимости валовой продукции сельского хозяйства за 2014 год (прилагается)</t>
        </r>
      </text>
    </comment>
    <comment ref="G28" authorId="0">
      <text>
        <r>
          <rPr>
            <b/>
            <sz val="8"/>
            <color indexed="81"/>
            <rFont val="Tahoma"/>
            <charset val="1"/>
          </rPr>
          <t xml:space="preserve">Сакун Анна Сергеевна:
</t>
        </r>
        <r>
          <rPr>
            <sz val="8"/>
            <color indexed="81"/>
            <rFont val="Tahoma"/>
            <family val="2"/>
            <charset val="204"/>
          </rPr>
          <t>primstat.gks.ru\ Официальная статистика\Базы данных\ Краткосрочные экономические показатели ПК\ Февраль 2015\ Сводные показатели\ стр 13 (данные прилагаются)</t>
        </r>
      </text>
    </comment>
    <comment ref="G31" authorId="0">
      <text>
        <r>
          <rPr>
            <b/>
            <sz val="8"/>
            <color indexed="81"/>
            <rFont val="Tahoma"/>
            <charset val="1"/>
          </rPr>
          <t>Сакун Анна Сергеевна:</t>
        </r>
        <r>
          <rPr>
            <sz val="8"/>
            <color indexed="81"/>
            <rFont val="Tahoma"/>
            <charset val="1"/>
          </rPr>
          <t xml:space="preserve">
Источник прилагается</t>
        </r>
      </text>
    </comment>
    <comment ref="G53" authorId="0">
      <text>
        <r>
          <rPr>
            <b/>
            <sz val="8"/>
            <color indexed="81"/>
            <rFont val="Tahoma"/>
            <charset val="1"/>
          </rPr>
          <t>Сакун Анна Сергеевна:</t>
        </r>
        <r>
          <rPr>
            <sz val="8"/>
            <color indexed="81"/>
            <rFont val="Tahoma"/>
            <charset val="1"/>
          </rPr>
          <t xml:space="preserve">
Прилагается</t>
        </r>
      </text>
    </comment>
    <comment ref="G62" authorId="0">
      <text>
        <r>
          <rPr>
            <b/>
            <sz val="8"/>
            <color indexed="81"/>
            <rFont val="Tahoma"/>
            <charset val="1"/>
          </rPr>
          <t>Сакун Анна Сергеевна:</t>
        </r>
        <r>
          <rPr>
            <sz val="8"/>
            <color indexed="81"/>
            <rFont val="Tahoma"/>
            <charset val="1"/>
          </rPr>
          <t xml:space="preserve">
По оперативным данным</t>
        </r>
      </text>
    </comment>
    <comment ref="G63" authorId="0">
      <text>
        <r>
          <rPr>
            <b/>
            <sz val="8"/>
            <color indexed="81"/>
            <rFont val="Tahoma"/>
            <charset val="1"/>
          </rPr>
          <t>Сакун Анна Сергеевна:</t>
        </r>
        <r>
          <rPr>
            <sz val="8"/>
            <color indexed="81"/>
            <rFont val="Tahoma"/>
            <charset val="1"/>
          </rPr>
          <t xml:space="preserve">
По оперативным данным</t>
        </r>
      </text>
    </comment>
    <comment ref="G70" authorId="0">
      <text>
        <r>
          <rPr>
            <b/>
            <sz val="8"/>
            <color indexed="81"/>
            <rFont val="Tahoma"/>
            <charset val="1"/>
          </rPr>
          <t>Сакун Анна Сергеевна:</t>
        </r>
        <r>
          <rPr>
            <sz val="8"/>
            <color indexed="81"/>
            <rFont val="Tahoma"/>
            <charset val="1"/>
          </rPr>
          <t xml:space="preserve">
прилагается</t>
        </r>
      </text>
    </comment>
    <comment ref="G71" authorId="0">
      <text>
        <r>
          <rPr>
            <b/>
            <sz val="8"/>
            <color indexed="81"/>
            <rFont val="Tahoma"/>
            <charset val="1"/>
          </rPr>
          <t>Сакун Анна Сергеевна:</t>
        </r>
        <r>
          <rPr>
            <sz val="8"/>
            <color indexed="81"/>
            <rFont val="Tahoma"/>
            <charset val="1"/>
          </rPr>
          <t xml:space="preserve">
прилагается</t>
        </r>
      </text>
    </comment>
    <comment ref="G72" authorId="0">
      <text>
        <r>
          <rPr>
            <b/>
            <sz val="8"/>
            <color indexed="81"/>
            <rFont val="Tahoma"/>
            <charset val="1"/>
          </rPr>
          <t>Сакун Анна Сергеевна:</t>
        </r>
        <r>
          <rPr>
            <sz val="8"/>
            <color indexed="81"/>
            <rFont val="Tahoma"/>
            <charset val="1"/>
          </rPr>
          <t xml:space="preserve">
Оценочные данные. Статистических данных на сегодняшний день еще нет</t>
        </r>
      </text>
    </comment>
  </commentList>
</comments>
</file>

<file path=xl/sharedStrings.xml><?xml version="1.0" encoding="utf-8"?>
<sst xmlns="http://schemas.openxmlformats.org/spreadsheetml/2006/main" count="1631" uniqueCount="470">
  <si>
    <t>Приложение № 9</t>
  </si>
  <si>
    <t>к Порядку</t>
  </si>
  <si>
    <t xml:space="preserve">принятия решений о разработке </t>
  </si>
  <si>
    <t xml:space="preserve">государственных программ </t>
  </si>
  <si>
    <t>Приморского края, формирования</t>
  </si>
  <si>
    <t xml:space="preserve">реализации и проведения оценки </t>
  </si>
  <si>
    <t xml:space="preserve">эффективности реализации </t>
  </si>
  <si>
    <t xml:space="preserve">Приморского края, </t>
  </si>
  <si>
    <t xml:space="preserve">утвержденному постановлением </t>
  </si>
  <si>
    <t>Администрации Приморского края</t>
  </si>
  <si>
    <t>Форма</t>
  </si>
  <si>
    <t>от 30 декабря 2014 года № 566-па</t>
  </si>
  <si>
    <t>ОТЧЕТ</t>
  </si>
  <si>
    <t xml:space="preserve">о достижении значений показателей  государственной Программы Приморского края </t>
  </si>
  <si>
    <r>
      <t xml:space="preserve"> </t>
    </r>
    <r>
      <rPr>
        <b/>
        <u/>
        <sz val="11"/>
        <color indexed="8"/>
        <rFont val="Times New Roman"/>
        <family val="1"/>
        <charset val="204"/>
      </rPr>
      <t>«Развитие сельского хозяйства и регулирования рынков сельскохозяйственной продукции, сырья и продовольствия. Повышение уровня жизни сельского населения Приморского края» на 2013 - 2020 годы</t>
    </r>
  </si>
  <si>
    <t>(наименование государственной программы)</t>
  </si>
  <si>
    <t>за 2014 год</t>
  </si>
  <si>
    <t>№ п/п</t>
  </si>
  <si>
    <t>Наименование показателей государственной программы</t>
  </si>
  <si>
    <t>Ед. изм.</t>
  </si>
  <si>
    <t>Значения показателей государственной программы</t>
  </si>
  <si>
    <t>Алгоритм формирования (формула) и методические пояснения к показателю, метод сбора информации</t>
  </si>
  <si>
    <t>Обоснование отклонений значений показателя на конец отчетного период (при наличии)</t>
  </si>
  <si>
    <t>год, предшествующий отчетному                   (2013 год)</t>
  </si>
  <si>
    <t>отчетный год</t>
  </si>
  <si>
    <t xml:space="preserve">план
</t>
  </si>
  <si>
    <t xml:space="preserve">факт
</t>
  </si>
  <si>
    <t>Государственная Программа Приморского края «Развитие сельского хозяйстваи регулирования рынков сельскохозяйственной продукции, сырья и продовольствия. Повышение уровня жизни сельского населения Приморского края» на 2013-2020 годы</t>
  </si>
  <si>
    <t>1.</t>
  </si>
  <si>
    <t>Индекс производства продукции сельского хозяйства в хозяйствах всех категорий (в сопоставимых ценах)</t>
  </si>
  <si>
    <t>в % к предыдущему году</t>
  </si>
  <si>
    <t>Данные статистической отчетности</t>
  </si>
  <si>
    <t>2.</t>
  </si>
  <si>
    <t>Индекс производства продукции растениеводства (в сопоставимых ценах)</t>
  </si>
  <si>
    <t>3.</t>
  </si>
  <si>
    <t>Индекс производства продукции животноводства (в сопоставимых ценах)</t>
  </si>
  <si>
    <t>Оценка
Снижение объема производства в животноводческой отрасли обусловлено недостатком кормов (из-за неблагоприятных погодных условий 2013 года), высокой его стоимости на российском рынке и введением на территории края режима чрезвычайной ситуации регионального характера, связанной с массовым заболеванием свиней ящуром (тип О).</t>
  </si>
  <si>
    <t>4.</t>
  </si>
  <si>
    <t>Индекс производства пищевых продуктов, включая напитки (в сопоставимых ценах)</t>
  </si>
  <si>
    <t>5.</t>
  </si>
  <si>
    <t>Рентабельность сельскохозяйственных организаций (с учетом субсидий)</t>
  </si>
  <si>
    <t>%</t>
  </si>
  <si>
    <r>
      <t>Рентабельность с учетом субсидий</t>
    </r>
    <r>
      <rPr>
        <sz val="10"/>
        <color indexed="8"/>
        <rFont val="Times New Roman"/>
        <family val="1"/>
        <charset val="204"/>
      </rPr>
      <t xml:space="preserve"> = Прибыль до налогообложения (стр. 2300 Ф-2) / (Себестоимость продаж (стр. 2120 Ф-2) + Коммерческие расходы (стр. 2210 Ф-2) + Управленческие расходы (стр.2220 Ф-2))*100, где Ф-2 «Отчет о финансовых результатах», Ф-6 АПК «Отчет об отраслевых показателях деятельности организаций  агропромыщленного комплекса», (ежеквартальный, годовой)</t>
    </r>
  </si>
  <si>
    <t>6.</t>
  </si>
  <si>
    <t>Доля прибыльных крупных и средних организаций в их общем количестве</t>
  </si>
  <si>
    <t>7.</t>
  </si>
  <si>
    <t>Среднемесячная номинальная начисленная заработная плата работников, занятых в сельском хозяйстве региона</t>
  </si>
  <si>
    <t>руб.</t>
  </si>
  <si>
    <t>8.</t>
  </si>
  <si>
    <t xml:space="preserve">Прирост высокопроизводительных рабочих мест </t>
  </si>
  <si>
    <t>ед.</t>
  </si>
  <si>
    <t>9.</t>
  </si>
  <si>
    <t xml:space="preserve">Прирост организаций, осуществляющих технологические инновации
в агропромышленном комплексе Приморского края
</t>
  </si>
  <si>
    <t>10.</t>
  </si>
  <si>
    <t>млн.руб</t>
  </si>
  <si>
    <t>Поступление налогов в краевой бюджет от деятельности сельскохозяйственных организаций края + поступление налогов в краевой бюджет от деятельности пищевой и перерабатывающей промышленности</t>
  </si>
  <si>
    <t>* по оперативным данным</t>
  </si>
  <si>
    <t>Подпрограмма № 1 «Техническая и  технологическая модернизация,
инновационное развитие агропромышленного комплекса»</t>
  </si>
  <si>
    <t>Объемы приобретения  новой техники сельскохозяйственными товаропроизводителями всех форм собственности (включая ЛПХ):</t>
  </si>
  <si>
    <t>шт.</t>
  </si>
  <si>
    <t>Создание сборочных цехов по сбору (выпуску) сельскохозяйственной техники на территории Приморского края</t>
  </si>
  <si>
    <t>-</t>
  </si>
  <si>
    <t>Организации не приняли решений о создании сборочных цехов по выпуску техники на территории края</t>
  </si>
  <si>
    <t>Количество производимой техники на территории Приморского края</t>
  </si>
  <si>
    <t>Подпрограмма № 2 «Снижение финансовых рисков и повышение финансовой устойчивости»</t>
  </si>
  <si>
    <t>Объем субсидируемых кредитов (займов) всего</t>
  </si>
  <si>
    <t>млрд.руб.</t>
  </si>
  <si>
    <t>Удельный вес застрахованных посевных площадей в общей посевной площади</t>
  </si>
  <si>
    <t>Подпрограмма № 3 «Сохранение и повышение плодородия почв»</t>
  </si>
  <si>
    <t>Доля обрабатываемой пашни в ее общем объеме в хозяйствах всех категорий</t>
  </si>
  <si>
    <t xml:space="preserve">Статистический показатель "доля обрабатываемой пашни в хозяйствах всех категорий"/на  ее общий объем </t>
  </si>
  <si>
    <t>Подпрограмма № 4 «Развитие мелиорации сельскохозяйственных земель Приморского края»</t>
  </si>
  <si>
    <t>Ввод в эксплуатацию мелиорируемых земель за счет реконструкции, технического перевооружения и строительства новых мелиоративных систем, включая мелиоративные системы общего и индивидуального пользования</t>
  </si>
  <si>
    <t>тыс. га</t>
  </si>
  <si>
    <t>Защита земель от водной эрозии, затопления и подтопления</t>
  </si>
  <si>
    <t>Приведение отдельно расположенных гидротехнических сооружений в безопасное в эксплуатации техническое состояние</t>
  </si>
  <si>
    <t>Сохранение существующих и создание  новых высокотехнологичных рабочих мест</t>
  </si>
  <si>
    <t>11.</t>
  </si>
  <si>
    <t>Вовлечение в оборот выбывших сельскохозяйственных угодий за счет проведения культуртехнических работ</t>
  </si>
  <si>
    <t>Подпрограмма № 5 «Развитие подотрасли растениеводства, переработки и
реализации продукции растениеводства»</t>
  </si>
  <si>
    <t>Производство продукции растениеводства в хозяйствах всех категорий</t>
  </si>
  <si>
    <t>12.</t>
  </si>
  <si>
    <t>Зерновые и зернобобовые</t>
  </si>
  <si>
    <t>тыс. тонн</t>
  </si>
  <si>
    <t>13.</t>
  </si>
  <si>
    <t>Картофель</t>
  </si>
  <si>
    <t>Овощи (открытого и защищенного грунта)</t>
  </si>
  <si>
    <t>Соя</t>
  </si>
  <si>
    <t>Производство (переработка) продукции растениеводства</t>
  </si>
  <si>
    <t>16.</t>
  </si>
  <si>
    <t>Производство сахара из сахарной свеклы</t>
  </si>
  <si>
    <t>17.</t>
  </si>
  <si>
    <t>Крупы</t>
  </si>
  <si>
    <t>Остановлено производство крупы
ООО "Дальнереченский крупозавод" (отсутствие сырья)</t>
  </si>
  <si>
    <t>18.</t>
  </si>
  <si>
    <t>Хлебобулочных изделий, диетических и обогащенных микронутриентами</t>
  </si>
  <si>
    <t>Доля потребления продуктов питания собственного производства в общем объеме потребления, в том числе:</t>
  </si>
  <si>
    <t>19.</t>
  </si>
  <si>
    <t>20.</t>
  </si>
  <si>
    <t>Овощи</t>
  </si>
  <si>
    <t>21.</t>
  </si>
  <si>
    <t>Сахар</t>
  </si>
  <si>
    <t>22.</t>
  </si>
  <si>
    <t>Масло растительное</t>
  </si>
  <si>
    <t>Подпрограмма № 6 «Развитие подотрасли животноводства, племенного животноводства, комплексного оздоровления стада крупного рогатого скота, переработки и реализации продукции животноводства»</t>
  </si>
  <si>
    <t>23.</t>
  </si>
  <si>
    <t>Поголовье  крупного рогатого скота специализированных мясных пород и помесного скота, полученного от скрещивания со специализированными мясными породами в сельскохозяйственных организациях, крестьянских (фермерских) хозяйствах, включая индивидуальных предпринимателей*</t>
  </si>
  <si>
    <t>голов</t>
  </si>
  <si>
    <t xml:space="preserve">голштинская порода американской селекции, калымская и герефордская мясные породы </t>
  </si>
  <si>
    <t>24.</t>
  </si>
  <si>
    <t>Производство скота и птицы на убой в хозяйствах всех категорий   (в живом весе)</t>
  </si>
  <si>
    <t>тыс.тонн</t>
  </si>
  <si>
    <t xml:space="preserve">Снижение объема производства скота и птицы на убой в хозяйствах всех категорий  обусловлено недостатком кормов (из-за неблагоприятных погодных условий 2013 года), высокой его стоимости на российском рынке и введением на территории края режима чрезвычайной ситуации регионального характера, связанной с массовым заболеванием свиней ящуром (тип О). </t>
  </si>
  <si>
    <t>25.</t>
  </si>
  <si>
    <t>Прирост производственных мощностей по убою скота и его первичной переработке</t>
  </si>
  <si>
    <t>26.</t>
  </si>
  <si>
    <t>Производство молока всех видов в хозяйствах всех категорий</t>
  </si>
  <si>
    <t>27.</t>
  </si>
  <si>
    <t>Производство яиц</t>
  </si>
  <si>
    <t>млн.штук</t>
  </si>
  <si>
    <t>Снижены объемы производства продукции на  20 % по ООО «Птицефабрика «Уссурийская».</t>
  </si>
  <si>
    <t xml:space="preserve">Данные статистической отчетности. Потребления продуктов питания собственного производства/общий объем потребления </t>
  </si>
  <si>
    <t>28.</t>
  </si>
  <si>
    <t>Молоко и молокопродукты</t>
  </si>
  <si>
    <t>29.</t>
  </si>
  <si>
    <t>Мясо и мясопродукты</t>
  </si>
  <si>
    <t>30.</t>
  </si>
  <si>
    <t>Яйца</t>
  </si>
  <si>
    <t>31.</t>
  </si>
  <si>
    <t>Объемы реализации племенного молодняка племенными репродукторами Приморского края</t>
  </si>
  <si>
    <t>крс гол.</t>
  </si>
  <si>
    <t>32.</t>
  </si>
  <si>
    <t>Доля здорового по заболеванию лейкоз поголовья скота (включая вирусоносителей) от общего поголовья скота</t>
  </si>
  <si>
    <t>Подпрограмма № 7 «Поддержка  малых  форм  хозяйствования»</t>
  </si>
  <si>
    <t>33.</t>
  </si>
  <si>
    <t>Количество хозяйств начинающих фермеров, осуществивших проекты создания и развития своих хозяйств с помощью государственной поддержки.</t>
  </si>
  <si>
    <t>34.</t>
  </si>
  <si>
    <t>Количество построенных или реконструированных семейных животноводческих ферм</t>
  </si>
  <si>
    <t>Подпрограмма № 8 «Обеспечение функций управления реализации к Государственной программе Приморского края «Развитие сельского хозяйства и регулирования рынков сельскохозяйственной продукции, сырья и продовольствия. Повышение уровня жизни сельского населения Приморского края на 2013 - 2020 годы»</t>
  </si>
  <si>
    <t>35.</t>
  </si>
  <si>
    <t>Количество оказанных государственных услуг и работ в сфере развития сельского хозяйства и регулирования рынков сельскохозяйственной продукции, сырья и продовольствия</t>
  </si>
  <si>
    <t>Подпрограмма № 9 «Социальное развитие села в Приморском  крае на 2013 год»</t>
  </si>
  <si>
    <t>36.</t>
  </si>
  <si>
    <t>Ввод (приобретение) жилья для граждан, проживающих в сельской местности, всего</t>
  </si>
  <si>
    <t>кв. м</t>
  </si>
  <si>
    <t>Поскольку улучшение жилищных условий граждан сельской местности достигается путем приобретения и строительства жилья, т.е. после регистрации права собственности и ввода объекта в эксплуатацию, объективная оценка эффективности будет возможна после регистрации прав всех граждан на недвижимое имущество</t>
  </si>
  <si>
    <t>37.</t>
  </si>
  <si>
    <t>в том числе мероприятия по обеспечению жильем молодых семей и молодых специалистов в сельской местности</t>
  </si>
  <si>
    <t>38.</t>
  </si>
  <si>
    <t>Количество сельских семей, всего</t>
  </si>
  <si>
    <t>39.</t>
  </si>
  <si>
    <t>40.</t>
  </si>
  <si>
    <t>Объем ввода (степень готовности) муниципальных общеобразовательных организаций в сельской местности</t>
  </si>
  <si>
    <t>41.</t>
  </si>
  <si>
    <t xml:space="preserve">Удельный вес учащихся,         
обучающихся в первую смену, в общей численности учащихся муниципальных                  
общеобразовательных организаций в сельской местности  </t>
  </si>
  <si>
    <t>42.</t>
  </si>
  <si>
    <t xml:space="preserve">Ввод в действие мест в муниципальных образовательных организациях (дополнительного образования детей) сферы культуры </t>
  </si>
  <si>
    <t>мест</t>
  </si>
  <si>
    <t>Приложение № 10</t>
  </si>
  <si>
    <t>о степени выполнения подпрограмм, программ, принятых в соответствии с требованиями  федерального</t>
  </si>
  <si>
    <t xml:space="preserve"> законодательства в сфере реализации государственной программы, и отдельных мероприятий</t>
  </si>
  <si>
    <t xml:space="preserve"> государственной программы Приморского края</t>
  </si>
  <si>
    <t>«Развитие сельского хозяйства и регулирования рынков сельскохозяйственной продукции, сырья и
продовольствия. Повышение уровня жизни сельского населения Приморского края» на 2013 - 2020 годы</t>
  </si>
  <si>
    <t>Плановый срок</t>
  </si>
  <si>
    <t>Фактический срок</t>
  </si>
  <si>
    <t>Результаты</t>
  </si>
  <si>
    <t>Причины не достижения запланированных результатов</t>
  </si>
  <si>
    <t>начала реализации</t>
  </si>
  <si>
    <t>окончания реализации</t>
  </si>
  <si>
    <t xml:space="preserve">запланированные </t>
  </si>
  <si>
    <t xml:space="preserve">достигнутые
</t>
  </si>
  <si>
    <t>Государственная программа Приморского края «Развитие сельского хозяйства и регулирования рынков сельскохозяйственной продукции, сырья и продовольствия. Повышение уровня жизни сельского населения Приморского края» на 2013 – 2020 годы</t>
  </si>
  <si>
    <t xml:space="preserve">повышение удельного веса потребления продовольствия за счет собственного производства к 2020 году до: картофель – 100%, овощи – 81,5%; мясо и мясопродукты – 80,3%, молоко и молокопродукты – 47,9%; яиц до 97,8%;
увеличение производства продукции сельского хозяйства в хозяйствах всех категорий (в сопоставимых ценах) в 2020 году по отношению к 2012 году на 66,6%, пищевых продуктов на 64,1%;
ввод в оборот неиспользуемой пашни и залежных земель сельскохозяйственного назначения не менее 
200 тыс. га, в том числе: мелиоративных систем на площади – 10,0 тыс. га;
доведение соотношения уровней заработной платы в сельском хозяйстве и в среднем по экономике Приморского края до 65%;
увеличение экспорта сельскохозяйственной продукции, производимой на территории Приморского края не менее чем до 
200 тыс. тонн кукурузы и сои
</t>
  </si>
  <si>
    <t>Индекс производства продукции сельского хозяйства в хозяйствах всех категорий (в сопоставимых ценах) в 2014 году составил 113%;
Индекс производства пищевых продуктов, включая напитки (в сопоставимых ценах)  составил 100,4%.
По оценке доля потребления продуктов питания собственного производства в общем объеме потребления составила: картофель – 100%, овощи – 85%; мясо и мясопродукты – 38%, молоко и молокопродукты – 40,5%; яиц - 65%</t>
  </si>
  <si>
    <t>в том числе:</t>
  </si>
  <si>
    <t>1.1.</t>
  </si>
  <si>
    <t>Подпрограмма № 1 «Техническая и технологическая модернизация, инновационное развитие агропромышленного комплекса»</t>
  </si>
  <si>
    <t>1.1.1.</t>
  </si>
  <si>
    <t>Предоставление субсидий на возмещение затрат, связанных с приобретением сельскохозяйственной техники, оборудования и скота, в том числе на условиях лизинга</t>
  </si>
  <si>
    <t>приобретение сельскохозяйственными товаропроизводителями не менее 1000 комбайнов, 2000 тракторов; развитие микропредприятий на территории края, увеличение объемов производства сельскохозяйственной продукции; строительство и реконструкция современных теплиц в целях увеличения объемов собственного производства и потребления
овощей (до 81,5% от фактического); увеличение производства молока до 148 тыс. тонн в год, стабилизация поголовья коров (37,0 тыс. голов) и рост их продуктивности до 5000 кг в год; увеличение потреблениямолока и молочных продуктов собственного производства до 47,9%; обеспечение условий и возможности для хранения до 67% урожая
картофеля, плодов и овощей, снижение зависимости от импорта, увеличение доли потребления продуктов питания собственного производства (картофеля – 100%, овощей – 81,5%); увеличение производительности труда и объемов перерабатываемой продукции (производство хлеба и хлебобулочных – 4,0 тыс. тонн, крупы – 16 тыс. тонн, в целом рост объемов производства на 6% в год); увеличение потребления продуктов питания
собственного производства (сахара – 100%,
масла растительного – 50,6%);
участие в мероприятиях
государственной программы
Российской Федерации;
организация и развитие
свеклосахарного производства (595 тыс. тонн),
сои (332,8 тыс. тонн),
овощей (191,5 тыс. тонн),
молока (148 тыс. тонн),
мяса (113,0 тыс. тонн),
рост валового объема производимой
в крае продукции в целом (5-7% ежегодно)</t>
  </si>
  <si>
    <t>Приобретено 410 единиц техники. Государственная поддержка в 2014 году составила: за счет средств федерального бюджета – 133,99 млн. руб., краевого бюджета – 578,0 млн. руб.</t>
  </si>
  <si>
    <t>1.1.2.</t>
  </si>
  <si>
    <t>Предоставление грантов на создание и развитие крестьянского (фермерского) хозяйства и единовременной помощи на бытовое устройство начинающим фермерам</t>
  </si>
  <si>
    <t>Осуществлена государственная поддержка в виде грантов 36 начинающим фермерам и 8 семейным животноводческим фермам. Государственная поддержка в 2014 году составила: за счет средств федерального бюджета – 75,83 млн. руб., краевого бюджета – 51,35млн. руб.</t>
  </si>
  <si>
    <t>1.1.3.</t>
  </si>
  <si>
    <t>Предоставление грантов на развитие семейных животноводческих ферм</t>
  </si>
  <si>
    <t>1.1.4.</t>
  </si>
  <si>
    <t>Предоставление субсидий на возмещение затрат, связанных с развитием инфраструктуры и логистического обеспечения рынков продукции растениеводства</t>
  </si>
  <si>
    <t>Государственная поддержка на возмещение затрат, связанных с развитием инфраструктуры и логистического обеспечения рынков продукции растениеводства в 2014 году не предоставлялась.</t>
  </si>
  <si>
    <t>1.1.5.</t>
  </si>
  <si>
    <t>Предоставление субсидий на возмещение затрат, связанных с развитием переработки продукции растениеводства и животноводства</t>
  </si>
  <si>
    <t>Государственная поддержка в 2014 году не предоставлялась.</t>
  </si>
  <si>
    <t>1.1.6.</t>
  </si>
  <si>
    <t>Предоставление субсидий на возмещение затрат, связанных с вводом скотомест, в т.ч. в племенных репродукторах</t>
  </si>
  <si>
    <t>Предоставлены субсидии на возмещение затрат, связанных с вводом скотомест, в т.ч. в племенных репродукторах за счет средств краевого бюджета – 230,0 млн. руб.</t>
  </si>
  <si>
    <t>1.1.7.</t>
  </si>
  <si>
    <t>Предоставление субсидий на возмещение затрат, связанных со строительством цеха по производству органических удобрений</t>
  </si>
  <si>
    <t>Субсидии на возмещение затрат, связанных со строительством цеха по производству органических удобрений В 2014 году не выплачивались.</t>
  </si>
  <si>
    <t>1.1.8.</t>
  </si>
  <si>
    <t>Предоставление субсидий на возмещение затрат, связанных со строительством овощехранилищ</t>
  </si>
  <si>
    <t>Субсидии на возмещение затрат, связанных со строительством овощехранилищ в 2014 году не выплачивались</t>
  </si>
  <si>
    <t>1.1.9.</t>
  </si>
  <si>
    <t>Предоставление субсидий на возмещение затрат, связанных со строительством и модернизацией существующих зимних теплиц, строительством новых</t>
  </si>
  <si>
    <t xml:space="preserve">Субсидии на возмещение затрат, связанных со строительством и модернизацией существующих зимних теплиц, строительством новых в 2014 году не выплачивались. </t>
  </si>
  <si>
    <t>1.1.10.</t>
  </si>
  <si>
    <t>Мероприятия по оказанию консультационной помощи</t>
  </si>
  <si>
    <t>На мероприятия по оказанию консультационной помощи выплачено  за счет средств краевого бюджета – 1,39 млн. руб. Организован и проведен семинара-совещание "День работников агропромышленного комплекса" на тему: "Подведение итогов 2014 года. Задачи на 2015 год".</t>
  </si>
  <si>
    <t>в том числе: на проведение семинаров, повышение квалификации работников АПК, разработку методических и иных материалов</t>
  </si>
  <si>
    <t>1.2.</t>
  </si>
  <si>
    <t>1.2.1.</t>
  </si>
  <si>
    <t>Субсидии на компенсацию части затрат, связанных с уплатой процентов по инвестиционным кредитам</t>
  </si>
  <si>
    <t>обеспечение доступности вновь привлеченных субсидируемых инвестиционных и краткосрочных кредитов (доведение объема до 13,7 млрд. рублей) в целях восстановления, строительства, реконструкции, модернизации сельскохозяйственного и перерабатывающего производства, в том числе хранилищ и мощностей по переработке картофеля, овощей и фруктов; тепличных комплексов по производству плодоовощной продукции в закрытом грунте; предприятий мукомольно-крупяной хлебопекарной промышленности; маслодобывающих предприятий; сахарных заводов; комплексов по подготовке семян сельскохозяйственных растений; мощностей для подработки, хранения и перевалки зерновых и масличных культур; закладки и ухода за многолетними насаждениями и виноградниками; а также мелиоративных систем;
увеличение доли застрахованных сельскохозяйственных объектов (в том числе посевных площадей до 50%) в целях снижения рисков потери доходов при производстве продукции растениеводства и животноводства</t>
  </si>
  <si>
    <t>Реализация подпрограммы по субсидированию процентной ставки по привлеченным кредитам позволила организациям агропромышленного комплекса привлечь кредитных ресурсов в сумме 7,27 млрд. рублей. Государственная поддержка на компенсацию процентной ставки за 2014 год составила: за счет средств федерального бюджета – 320,0 млн. руб., краевого бюджета – 102,4 млн. руб.</t>
  </si>
  <si>
    <t>1.2.2.</t>
  </si>
  <si>
    <t>Субсидии на компенсацию части затрат, связанных с уплатой процентов по краткосрочным кредитам</t>
  </si>
  <si>
    <t>1.2.3.</t>
  </si>
  <si>
    <t>Субсидии на компенсацию части затрат, связанных с уплатой процентов по кредитам малых форм хозяйствования</t>
  </si>
  <si>
    <t>1.2.4.</t>
  </si>
  <si>
    <t>Субсидии на компенсацию страхового взноса сельскохозяйственным товаропроизводителям при страховании посевов, птицы, техники и животных</t>
  </si>
  <si>
    <t>Государственная поддержка  на компенсацию страхового взноса сельскохозяйственным товаропроизводителям при страховании посевов, птицы, техники и животных за 2014 год составила: за счет средств федерального бюджета – 10,6 млн. руб., краевого бюджета – 14,8 млн. руб.</t>
  </si>
  <si>
    <t>1.3.</t>
  </si>
  <si>
    <t>Подпрограмма № 3 «Сохранение и повышение плодородия почв. Ввод в оборот неиспользованной пашни и залежных земель сельскохозяйственного назначения»</t>
  </si>
  <si>
    <t>1.3.1.</t>
  </si>
  <si>
    <t>Предоставление субсидий на возмещение затрат, связанных с вводом в эксплуатацию залежных земель сельскохозяй-ственного назначения</t>
  </si>
  <si>
    <t>сохранение плодородия земель; увеличение валового производства продукции растениеводства (в среднем 4,5% в год), за счет увеличения урожайности и размера посевных площадей</t>
  </si>
  <si>
    <t xml:space="preserve">Для повышения плодородия почв хозяйствами края было внесено 26,9 тыс. тонн минеральных удобрений. В хозяйствах края проведены работы по уходу за посевами, обработка гербицидами, заготовка кормов для животноводческих предприятий, внесено органических удобрений в количестве 142,6 тыс. тонн. Проведен аукцион в электронной форме на проведение агрохимического обследования земель, заключен государственный контракт. Государственная поддержка  на реализацию мероприятий по повышению плодородия земель за 2014 год составила: за счет средств федерального бюджета – 38,3 млн. руб., краевого бюджета - 13,58 млн. руб. </t>
  </si>
  <si>
    <t>1.3.2.</t>
  </si>
  <si>
    <t xml:space="preserve">Предоставление субсидий на возмещение затрат, связанных с повышением плодородия почв (известкование и фосфоритование кислых почв, внесение органических удобрений, комплекс работ с торфом, выращивание и запашка сидератов) </t>
  </si>
  <si>
    <t>1.3.3.</t>
  </si>
  <si>
    <t>Предоставление субсидий на возмещение затрат, связанных с внесением минеральных удобрений</t>
  </si>
  <si>
    <t>1.3.4.</t>
  </si>
  <si>
    <t>Предоставление субсидий на возмещение затрат, связанных с применением средств защиты растений</t>
  </si>
  <si>
    <t>1.3.5.</t>
  </si>
  <si>
    <t>Проведение агрохимического обследования (мониторинг)</t>
  </si>
  <si>
    <t>1.4.</t>
  </si>
  <si>
    <t>1.4.1.</t>
  </si>
  <si>
    <t xml:space="preserve">Предоставление субсидий на возмещение затрат, связанных со строительством, реконструкцией,  техническим перевооружением мелиоративных систем, проведением культуртехнических работ на мелиоративных системах (включая работы по разработке проектно-сметной документации) </t>
  </si>
  <si>
    <t xml:space="preserve">увеличение валового производства сельскохозяйственных культур на 4,5% ежегодно (за счет увеличения урожайности); снижение продовольственной зависимости региона; увеличение производительности труда, создание дополнительной кормовой базы;
обеспечение продовольственной безопасности региона за счет увеличения
валового производства риса до 
112 тыс. тонн в год; рост производительности труда, модернизация сельскохозяйственного производства; снижение себестоимости продукции;
улучшение экологической ситуации в регионе;
обеспечение и расчеты возможности и проведения мероприятий по мелиорации земель
</t>
  </si>
  <si>
    <t>Направление не развито
ВЦП "Развитие мелиорации на 2013-2015годы" не прошла отбор в МСХ РФ, в связи с этим не был объявлен конкурс по разработке ПСД по проведению научно-иследовательских и опытно-конструкторских работ. Не определены собственники.</t>
  </si>
  <si>
    <t>1.4.2.</t>
  </si>
  <si>
    <t xml:space="preserve">Мероприятия, связанные с проведением научно-исследовательских и опытно-конструкторских работ </t>
  </si>
  <si>
    <t>Направление не развито</t>
  </si>
  <si>
    <t>1.4.3.</t>
  </si>
  <si>
    <t xml:space="preserve">Мероприятия, обеспечивающие реализацию подпрограммы на конкурсной основе, в том числе по разработке технических паспортов бесхозяйных мелиоративных систем </t>
  </si>
  <si>
    <t>1.5.</t>
  </si>
  <si>
    <t>Подпрограмма № 5 «Развитие подотрасли растениеводства, переработки и реализации продукции растениеводства»</t>
  </si>
  <si>
    <t>1.5.1.</t>
  </si>
  <si>
    <t>Предоставление субсидий на возмещение затрат, связанных с производством гречихи</t>
  </si>
  <si>
    <t>увеличение валового производства продукции растениеводства (4,5% ежегодно);обеспечение качественными семенами основных сельскохозяйственных культур, развитие приморской селекции; усовершенствование существующих конструкций теплиц и оборудования; повышение качества и урожайности овощей; рост производства; обеспечение продовольственной независимости региона; повышение качества и урожайности основных сельскохозяйственных культур (зерно, соя, картофель, сахарная свекла); снижение себестоимости производства сельскохозяйственных культур; техническая и технологическая модернизации производств, а также ввод новых основных мощностей по производству, первичной и последующей (промышленной) переработке продукции традиционных видов культур; рост валового производства продукции животноводства, восстановление кормовых угодий, ввод в оборот низкопродуктивной пашни; развитие рынков сбыта; увеличение объемов производства крупы, хлебобулочных изделий, обогащенных микронутриентами, сахара, растительных масел, плодоовощных консервов; расширение ассортимента и
повышение качества продуктов питания
на основе комплексной переработки
растениеводческого сырья;
качественная высокотехнологичная
переработка сельскохозяйственной продукции,
в том числе овощной, мучной, крупяной,
масложировой, сахара, что повлечет
за собой увеличение потребления
на душу населения продуктов питания
собственного производства; эффективное
инновационное и инвестиционное развитие
отрасли растениеводства Приморского края</t>
  </si>
  <si>
    <t>Государственная поддержка на развитие подотрасли растениеводства, переработки и реализации продукции растениеводства за 2014 год составила: за счет средств федерального бюджета – 152,7 млн. руб., краевого бюджета – 397,4 млн. руб.
Доля посева элитными семенами доведена до 19,2%.</t>
  </si>
  <si>
    <t>1.5.2.</t>
  </si>
  <si>
    <t>Предоставление субсидий на возмещение затрат, связанных с производством овощей защищенного грунта</t>
  </si>
  <si>
    <t>1.5.3.</t>
  </si>
  <si>
    <t>Предоставление субсидий на возмещение затрат, связанных с поддержкой элитного семеноводства</t>
  </si>
  <si>
    <t>1.5.4.</t>
  </si>
  <si>
    <t>Предоставление субсидий на возмещение затрат, связанных с поддержкой закладки и уходом за многолетними насаждениями и виноградниками</t>
  </si>
  <si>
    <t>1.5.5.</t>
  </si>
  <si>
    <t>Предоставление субсидий на оказание несвязанной поддержки сельскохозяйственным товаропроизводителям в области растениеводства</t>
  </si>
  <si>
    <t>1.5.6.</t>
  </si>
  <si>
    <t>Предоставление субсидий на возмещение затрат, связанных с поддержкой сельхозтоваро-производителей в районах Приморского края, приравненных к районам Крайнего Севера</t>
  </si>
  <si>
    <t>1.5.7.</t>
  </si>
  <si>
    <t xml:space="preserve">Расходы, связанные с приобретением специальной продукции для государственного технического надзора </t>
  </si>
  <si>
    <t>1.6.</t>
  </si>
  <si>
    <t>1.6.1.</t>
  </si>
  <si>
    <t>Предоставление субсидий на возмещение затрат, связанных с производством продукции животноводства</t>
  </si>
  <si>
    <t xml:space="preserve">породное обновление поголовья скота и птицы,
увеличение продуктивности и, как следствие,
валового производства продукции животноводства;
создание условий для предотвращения заболеваний
животных; ликвидация зараженных животных;
создание условий для предотвращения распространения
заболеваний;
оздоровление 80% поголовья к 2020 году;
стабилизация поголовья коров (37,0 тыс. голов);
увеличение продуктивности скота (5000 тонн в год);
рост производства молока 
(148 тыс. тонн) и мяса (113,0 тыс. тонн);
укрепление кормовой базы;
расширение ассортимента выпускаемой
конкурентоспособной продукции животноводства
(яиц, меда, масла, пушнины и т.д.);
рост валового производства; обеспечение сырьем
перерабатывающих предприятий; насыщение рынка
продуктами животноводства;
обеспечение продовольственной безопасности региона
на основе технической и технологической модернизации
производств, а также строительство новых и реконструкция
действующих мощностей по производству, первичной и
последующей (промышленной) переработке продукции
традиционных видов животноводческой продукции;
обеспечение доступности краткосрочных, инвестиционных
кредитов (займов) для удовлетворения отраслевых
потребностей в оборотных средствах;
качественная высокотехнологичная переработка
сельскохозяйственной продукции, в том числе
молока и мяса;
эффективное инновационное и инвестиционное
развитие отрасли животноводства Приморского края
</t>
  </si>
  <si>
    <t>Государственная поддержка на развитие подотрасли животноводства, племенного животноводства, комплексного оздоровления стада крупного рогатого скота, переработки и реализации продукции животноводства за 2014 год составила: за счет средств федерального бюджета – 26,04 млн. руб., краевого бюджета – 246,4 млн. руб.</t>
  </si>
  <si>
    <t>1.6.2.</t>
  </si>
  <si>
    <t>Мероприятия, обеспечивающие реализацию Программы на конкурсной основе</t>
  </si>
  <si>
    <t>1.6.3.</t>
  </si>
  <si>
    <t>Предоставление субсидий на возмещение затрат, связанных с развитием племенного животноводства и комплексным оздоровлением крупного рогатого скота на территории Приморского края</t>
  </si>
  <si>
    <t>1.7.</t>
  </si>
  <si>
    <t>Подпрограмма № 7 «Поддержка малых форм хозяйствования, садоводческих и дачных объединений и  обществ»</t>
  </si>
  <si>
    <t>1.7.1.</t>
  </si>
  <si>
    <t xml:space="preserve">Предоставление субсидий крестьянским (фермерским) хозяйствам, включая индивидуальных предпринимателей, на возмещение затрат, связанных с оформлением в собственность используемых ими земельных участков на территории Приморского края из земель сельскохозяйственного назначения </t>
  </si>
  <si>
    <t xml:space="preserve">высокая самозанятость сельского населения, сокращение уровня безработицы, рост среднедушевых доходов;
стабилизация численности сельского населения;
увеличение валового производства сельскохозяйственной продукции;
обеспечение доступа малых форм хозяйствования к земельным ресурсам, увеличение посевных площадей;
применение инновационных методов, выведение новых сортов;
снижение рыночной стоимости сельскохозяйственной продукции местного производства;
стабилизация поголовья скота;
повышение эффективности деятельности малых форм хозяйствования
</t>
  </si>
  <si>
    <t>Государственная поддержка в 2014 году составила: за счет средств федерального бюджета – 12,9 млн. руб., краевого бюджета – 11,9 млн. руб.</t>
  </si>
  <si>
    <t>1.7.2.</t>
  </si>
  <si>
    <t>Предоставление субсидий на развитие сельскохозяйственных потребительских кооперативов</t>
  </si>
  <si>
    <t>1.7.3.</t>
  </si>
  <si>
    <t>Предоставление субсидий сельскохозяйственным товаропроизводителям на возмещение затрат, связанных с приобретением кормов для содержания крупного рогатого скота (коров)</t>
  </si>
  <si>
    <t>1.8.</t>
  </si>
  <si>
    <t>Подпрограмма № 8 «Обеспечение функций управления реализации к Государственной программе Приморского края «Развитие сельского хозяйства и регулирования рынков сельскохозяйственной продукции, сырья и продовольствия. Повышение уровня жизни сельского населения Приморского края» на 2013 – 2020 годы</t>
  </si>
  <si>
    <t>1.8.1.</t>
  </si>
  <si>
    <t>Руководство и управление в сфере установленных функций департамента сельского хозяйства и продовольствия Приморского края</t>
  </si>
  <si>
    <t xml:space="preserve">обеспечение выполнения целей, задач и целевых индикаторов
государственной программы в целом, в разрезе подпрограмм
и основных мероприятий в полном объеме;
создание более благоприятной инвестиционной
среды в сельском хозяйстве, расширение производства
продукции на основе инновационных технологий;
повышение доступности оказания государственных услуг;
создание единого информационного пространства в части
автоматизированного учета специализированной сельскохозяйственной 
техники и ее владельцев;
обеспечение качественного и оперативного автоматизированного
управления процессами, реализующими условия для равного
доступа органов управления и сельскохозяйственных
товаропроизводителей к информации о состоянии АПК,
для формирования необходимого уровня продовольственной безопасности
</t>
  </si>
  <si>
    <t>В целях достижения показателей Программы и эффективного использования средств государственной поддержки департамент заключил  551 соглашение с сельскохозяйственными товаропроизводителями края. В рамках соглашения каждому предприятию доведены индикаторы объемов производства зерновых культур, сои, картофеля, овощей, молока, мяса скота и птицы.  Государственная поддержка предоставлена 584 сельскохозяйственным товаропроизводителям, в том числе 129 сельскохозяйственным организациям, 217 ИП ГКФХ, 238 личным подсобным хозяйствам граждан. Осуществлена государственная поддержка в виде грантов 36 начинающим фермерам и 8 семейным животноводческим фермам, 90 граждан проживающих в сельской местности улучшили жилищные условия. 
За 2014 год всеми сельхозпроизводителями, по расчетам, произведено сельскохозяйственной продукции на 39551,4 млн. рублей или в сопоставимой оценке 113% к уровню 2013 года (28937,9 млн. рублей).  По итогам 2014 года хозяйствами всех категорий произведено мяса (скот и птица на убой в живом весе) 56,0 тыс. тонн или 103,8% к уровню 2013 года, молока - 119,1 тыс. тонн (99,7%), яиц - 302,4 млн. штук (107,1%). Валовой сбор зерновых и зернобобовых культур (в весе после доработки) составил 292,9 тыс. тонн (127,8%), картофеля – 421,5тыс. тонн (115,4%), овощей – 193,2 тыс. тонн (104,5%),, сои – 272,2 тыс. тонн (181,2%).</t>
  </si>
  <si>
    <t>1.9.</t>
  </si>
  <si>
    <t>Подпрограмма № 9 «Социальное развитие села в Приморском крае»</t>
  </si>
  <si>
    <t>1.9.1.</t>
  </si>
  <si>
    <t>Предоставление социальной выплаты на обеспечение жильем граждан Российской Федерации, проживающих в сельской местности Приморского края</t>
  </si>
  <si>
    <t>ввод и приобретение 
4500 кв. м жилья для граждан, проживающих в сельской местности, в том числе 2500 кв. м жилья для молодых семей и молодых специалистов;
улучшение жилищных условий не менее 
100 сельских семей, в том числе 50 молодых семей и молодых специалистов;
повышение уровня качества жизни на селе;</t>
  </si>
  <si>
    <t>В 2014 году жилищные условия улучшили 90 жителей сельской местности (участников мероприятий), в том числе 52 молодых специалиста. Общий объем сделок по приобретению жилья и по предоставленной проектно-сметной документации на строительство жилья позволил приобрести (построить) 6261,5 м2 жилой площади, в том числе 2924,2 м2 для молодых семей и молодых специалистов. 
Предоставлена социальная выплата на обеспечение жильем граждан Российской Федерации, проживающих в сельской местности Приморского краяза счет средств федерального бюджета – 69,0 млн. руб., краевого бюджета – 74,75млн. руб.</t>
  </si>
  <si>
    <t>1.9.2.</t>
  </si>
  <si>
    <t>Предоставление социальной выплаты на обеспечение жильем молодых семей и молодых специалистов, проживающих в сельской местности Приморского края</t>
  </si>
  <si>
    <t>1.9.3.</t>
  </si>
  <si>
    <t>Предоставление субсидий бюджетам муниципальных образований Приморского края на строительство (реконструкцию) общеобразовательных организаций в сельской местности</t>
  </si>
  <si>
    <t>введение в действие 
440 мест в общеобразовательных организациях; увеличение доли обучающихся в общеобразовательных учреждениях в первую смену;</t>
  </si>
  <si>
    <t>521</t>
  </si>
  <si>
    <t>14Б9229</t>
  </si>
  <si>
    <t>0702</t>
  </si>
  <si>
    <t>759</t>
  </si>
  <si>
    <t>департамент образования и науки Приморского края</t>
  </si>
  <si>
    <t xml:space="preserve">Предоставление субсидий бюджетам муниципальных образований Приморского края на строительство (реконструкцию) общеобразовательных организаций в сельской местности  </t>
  </si>
  <si>
    <t>322</t>
  </si>
  <si>
    <t>14Б8118</t>
  </si>
  <si>
    <t>1003</t>
  </si>
  <si>
    <t>758</t>
  </si>
  <si>
    <t>департамент сельского хозяйства и продовольствия Приморского края</t>
  </si>
  <si>
    <t>14Б8117</t>
  </si>
  <si>
    <t>000</t>
  </si>
  <si>
    <t>14Б0000</t>
  </si>
  <si>
    <t>1003
0702</t>
  </si>
  <si>
    <t>758,
759</t>
  </si>
  <si>
    <t xml:space="preserve">департамент сельского хозяйства и продовольствия Приморского края
департамент образования и науки Приморского края
</t>
  </si>
  <si>
    <t>244</t>
  </si>
  <si>
    <t>1481003</t>
  </si>
  <si>
    <t>0405</t>
  </si>
  <si>
    <t>122</t>
  </si>
  <si>
    <t>121</t>
  </si>
  <si>
    <t>1480000</t>
  </si>
  <si>
    <t>Подпрограмма № 8 «Обеспечение функций управления реализации к государственной Программе Приморского края «Развитие сельского хозяйства и регулирования рынков сельскохозяйствен-ной продукции, сырья и продовольствия. Повышение уровня жизни сельского населения Приморского края» на 2013 – 2020 годы</t>
  </si>
  <si>
    <t>810</t>
  </si>
  <si>
    <t>1476031</t>
  </si>
  <si>
    <t>1476062</t>
  </si>
  <si>
    <t>1476030</t>
  </si>
  <si>
    <t>1470000</t>
  </si>
  <si>
    <t>1466029</t>
  </si>
  <si>
    <t>обновление скота от лейкоза, в том числе путем  приобретения  племенного крупного рогатого скота</t>
  </si>
  <si>
    <t>искусственное осеменение, в  том числе приобретение и реализация семени и племенного материала</t>
  </si>
  <si>
    <t>на содержание поголовья маточного стада крупного рогатого скота (коров), на содержание поголовья маточного стада в звероводческих хозяйствах, занимающихся разведением пушных зверей</t>
  </si>
  <si>
    <t>Предоставление субсидий на возмещение затрат, связанных с развитием племенного животноводства и комплексным оздоровлением крупного рогатого скота на территории Приморского края, в том числе:</t>
  </si>
  <si>
    <t>1462204</t>
  </si>
  <si>
    <t xml:space="preserve">Мероприятия, связанные с проведением конкурсов профессионального мастерства в области животноводства </t>
  </si>
  <si>
    <t>1466028</t>
  </si>
  <si>
    <t>яйцо куриное (включая затраты на приобретение кормов)</t>
  </si>
  <si>
    <t>мясо, произведенное на убой (включая затраты на приобретение кормов)</t>
  </si>
  <si>
    <t>молоко (в том числе часть затрат на 1 литр (килограмм) реализованного товарного молока)</t>
  </si>
  <si>
    <t>Предоставление субсидий на возмещение затрат, связанных с производством продукции животноводства, в том числе:</t>
  </si>
  <si>
    <t>1460000</t>
  </si>
  <si>
    <t>1452207</t>
  </si>
  <si>
    <t>1456027</t>
  </si>
  <si>
    <t>Предоставление субсидий на возмещение затрат, связанных с поддержкой сельхозтоваропроизводителей в районах Приморского края, приравненных к районам Крайнего Севера</t>
  </si>
  <si>
    <t>810
810</t>
  </si>
  <si>
    <t>1456027
1456063</t>
  </si>
  <si>
    <t>0405
0405</t>
  </si>
  <si>
    <t>758
758</t>
  </si>
  <si>
    <t>1456026</t>
  </si>
  <si>
    <t>1456025</t>
  </si>
  <si>
    <t>1456056</t>
  </si>
  <si>
    <t>1456024</t>
  </si>
  <si>
    <t>1450000</t>
  </si>
  <si>
    <t>1442082</t>
  </si>
  <si>
    <t xml:space="preserve">Мероприятия, обеспечивающие реализацию подпрограммы на конкурсной основе, в том числе по разработке технических паспортов бесхозяйных мелиоративных систем  </t>
  </si>
  <si>
    <t>241</t>
  </si>
  <si>
    <t>1446023</t>
  </si>
  <si>
    <t>1440000</t>
  </si>
  <si>
    <t>1432081</t>
  </si>
  <si>
    <t>1436022</t>
  </si>
  <si>
    <t>1436018</t>
  </si>
  <si>
    <t>Предоставление субсидий на возмещение затрат, связанных с вводом в эксплуатацию залежных земель сельскохозяйственного назначения</t>
  </si>
  <si>
    <t>1430000</t>
  </si>
  <si>
    <t>1426017</t>
  </si>
  <si>
    <t>1426016</t>
  </si>
  <si>
    <t>1426015</t>
  </si>
  <si>
    <t>1426014</t>
  </si>
  <si>
    <t>1420000</t>
  </si>
  <si>
    <t>1412080</t>
  </si>
  <si>
    <t>1416013</t>
  </si>
  <si>
    <t>Предоставление субсидий на возмещение части затрат, связанных с технической и технологической модернизацией агропромышленного комплекса, в том числе</t>
  </si>
  <si>
    <t>1416061</t>
  </si>
  <si>
    <t>1416060</t>
  </si>
  <si>
    <t>1416012</t>
  </si>
  <si>
    <t>1410000</t>
  </si>
  <si>
    <t>Государственная Программа Приморского края «Развитие сельского хозяйства и регулирования рынков сельскохозяйственной продукции, сырья и продовольствия. Повышение уровня жизни сельского населения Приморского края» на 2013 – 2020 годы, в том числе:</t>
  </si>
  <si>
    <t>Кассовое исполнение</t>
  </si>
  <si>
    <t>Сводная бюджетная роспись на отчетную дату</t>
  </si>
  <si>
    <t>Сводная бюджетная роспись,
план на 1 января отчетного года</t>
  </si>
  <si>
    <t>ВР</t>
  </si>
  <si>
    <t>ЦСР</t>
  </si>
  <si>
    <t>Рз Пр</t>
  </si>
  <si>
    <t>ГРБС</t>
  </si>
  <si>
    <t xml:space="preserve">Объем бюджетных ассигнований 
краевого бюджета (тыс. руб.), годы
</t>
  </si>
  <si>
    <t>Код бюджетной классификации</t>
  </si>
  <si>
    <t>Ответственный испонитель, соисполнители</t>
  </si>
  <si>
    <t>Наименование подпрограммы, программы, принятой в соответствии с требованиями федерального законодательства в сфере реализации государственной программы отдельного мероприятия</t>
  </si>
  <si>
    <t>№ 
п/п</t>
  </si>
  <si>
    <t>Приложение № 12</t>
  </si>
  <si>
    <t>Приложение № 13</t>
  </si>
  <si>
    <t xml:space="preserve">ОТЧЕТ
о расходовании бюджетных ассигнований и внебюджетных источников 
на реализацию государственной программы Приморского края (тыс. руб.)
</t>
  </si>
  <si>
    <r>
      <t xml:space="preserve">«Развитие сельского хозяйства и регулирования рынков сельскохозяйственной продукции, сырья и
</t>
    </r>
    <r>
      <rPr>
        <b/>
        <u/>
        <sz val="14"/>
        <color indexed="8"/>
        <rFont val="Times New Roman"/>
        <family val="1"/>
        <charset val="204"/>
      </rPr>
      <t>продовольствия. Повышение уровня жизни сельского населения Приморского края» на 2013 - 2020 годы</t>
    </r>
  </si>
  <si>
    <t>Источники ресурсного обеспечения</t>
  </si>
  <si>
    <t>Оценка расходов 
(в соответствии с государственной программой)</t>
  </si>
  <si>
    <t>Фактические расходы,
(тыс. руб.)</t>
  </si>
  <si>
    <t>Всего</t>
  </si>
  <si>
    <t>федеральный бюджет (субсидии, субвенции, иные межбюджетные трансферты)</t>
  </si>
  <si>
    <t>краевой бюджет</t>
  </si>
  <si>
    <t>бюджет муниципальных образований</t>
  </si>
  <si>
    <t xml:space="preserve">государственные внебюджетные фонды Российской Федерации </t>
  </si>
  <si>
    <t>территориальные государственные внебюджетные фонды</t>
  </si>
  <si>
    <t>иные внебюджетные источники</t>
  </si>
  <si>
    <t>Мероприятия по оказанию консуль-тационной помощи</t>
  </si>
  <si>
    <t>758, 759</t>
  </si>
  <si>
    <t>Объем налоговых и наналоговых доходов в краевой бюджет Приморского края*</t>
  </si>
  <si>
    <t>ОТЧЕТ
о расходовании бюджетных ассигнований краевого бюджета на реализацию</t>
  </si>
  <si>
    <t>государственной Программы Приморского края «Развитие сельского хозяйства и регулирования рынков сельскохозяйственной продукции, сырья и продовольствия. Повышение уровня жизни сельского населения Приморского края» на 2013 - 2020 годы</t>
  </si>
  <si>
    <t>Наименование подпрограммы , программы, принятой в соответствии с требованиями федерального законодательства в сфере реализации государственной программы, отдельного мероприятия</t>
  </si>
  <si>
    <t>Значительные отклонения не выявлены</t>
  </si>
  <si>
    <t>Плановые данные подлежат корректировке в настоящий момент, предполагается, что они были несколько завышены, показатель на будущие периоды незначительно снизятся (максимально возможно в соответствии с фактом и прогнозом)</t>
  </si>
  <si>
    <t>ВЦП "Развитие мелиорации на 2013-2015 годы" не прошла отбор в МСХ РФ, в связи с этим не был объявлен конкурс по разработке ПСД по проведению научно-иследовательских и опытно-конструкторских работ.  Не определены собственники.</t>
  </si>
  <si>
    <t>Расчет объема продукции сельского хозяйства в сопоставимых ценах по каждой категории хозяйств проводится методом прямой оценки произведенных в отчетном году сельскохозяйственных продуктов по фактически действовавшим ценам за предыдущий год. Данные статистической отчетности</t>
  </si>
  <si>
    <t>Общее число предприятий (133 предприятия сдали годовую бухгалтерскую отчетность в ДСХ за 2014 год)/Прибыльные предприятия (109 - по данным бухгалтерской отчетности)</t>
  </si>
  <si>
    <t>Среднемесячная номинальная начисленная заработная плата работников исчисляется на основании сведений, полученных от организаций, делением фонда начисленной заработной платы работников на среднесписочную численность работников, и на количество месяцев в отчетном периоде. Данные статистической отчетности</t>
  </si>
  <si>
    <t>Расчет объема продукции животноводства в сопоставимых ценах по каждой категории хозяйств проводится методом прямой оценки произведенных в отчетном году сельскохозяйственных продуктов по фактически действовавшим ценам за предыдущий год.Данные статистической отчетности</t>
  </si>
  <si>
    <t>ОЦЕНКА</t>
  </si>
  <si>
    <t>эффективности значений показателей (индикаторов)</t>
  </si>
  <si>
    <r>
      <t xml:space="preserve">государственной Программы Приморского края «Развитие сельского хозяйства и регулирования рынков сельскохозяйственной продукции, сырья и </t>
    </r>
    <r>
      <rPr>
        <b/>
        <u/>
        <sz val="10"/>
        <color indexed="8"/>
        <rFont val="Times New Roman"/>
        <family val="1"/>
        <charset val="204"/>
      </rPr>
      <t>продовольствия. Повышение уровня жизни сельского населения Приморского края» на 2013 - 2020 годы</t>
    </r>
  </si>
  <si>
    <t>за 2014год</t>
  </si>
  <si>
    <t>(отчетный период)</t>
  </si>
  <si>
    <t>Показатель (индикатор)
(наименование)</t>
  </si>
  <si>
    <t>Ед. измерения</t>
  </si>
  <si>
    <t>Значения показателей (индикаторов) государственной программы</t>
  </si>
  <si>
    <t>Отклонение, %, п.п.</t>
  </si>
  <si>
    <t xml:space="preserve"> Оценка целевых индикаторов по государственной программе, подпрограмме</t>
  </si>
  <si>
    <t>отчетный период</t>
  </si>
  <si>
    <t>план
2014 года</t>
  </si>
  <si>
    <t>факт
2014 года</t>
  </si>
  <si>
    <t>государственная Программа Приморского края «Развитие сельского хозяйстваи регулирования рынков сельскохозяйственной продукции, сырья и продовольствия. Повышение уровня жизни сельского населения Приморского края» на 2013-2020 годы</t>
  </si>
  <si>
    <t>Индикаторы оценки эффективности Государственной программы, в том числе:</t>
  </si>
  <si>
    <t>Итоговая сводная оценка целевых индикаторов по государственной программе</t>
  </si>
  <si>
    <t>Объемы приобретения  новой техники сельскохозяйственными товаропроизводителями всех форм собственности (включая ЛПХ)</t>
  </si>
  <si>
    <t>Итоговая сводная оценка целевых индикаторов по подпрограмме</t>
  </si>
  <si>
    <t>14.</t>
  </si>
  <si>
    <t>15.</t>
  </si>
  <si>
    <t>Формула расчета</t>
  </si>
  <si>
    <t xml:space="preserve">Среднее значение всех показателей подпрограммы </t>
  </si>
  <si>
    <t>Расчет объема продукции растениеводства в сопоставимых ценах по каждой категории хозяйств проводится методом прямой оценки произведенных в отчетном году сельскохозяйственных продуктов по фактически действовавшим ценам за предыдущий год. Данные статистической отчетности</t>
  </si>
  <si>
    <t>Расчет объема производства пищевой продукции, включая напитки  в сопоставимых ценах по каждой категории хозяйств проводится методом прямой оценки произведенных в отчетном году сельскохозяйственных продуктов по фактически действовавшим ценам за предыдущий год. Данные статистической отчетности</t>
  </si>
  <si>
    <t>Насыщенность рынка края аналогичной продукцией, завезенной из других регионов России и по импорту по более низким ценам, закрытие завода «Арго» (производство сока и алкогольной продукции)</t>
  </si>
  <si>
    <t>((фактическое значение показателя-плановое значение показателя)/фактическое значение показателя)*100</t>
  </si>
  <si>
    <t>((фактическое значение показателя-плановое значение показателя)/фактическое значение показателя)*110</t>
  </si>
  <si>
    <t>Форма отчетности ГП 70</t>
  </si>
  <si>
    <t>Форма отчетности ГП 67 ПРД</t>
  </si>
  <si>
    <t>Увеличение индекса производства продукции сельского хозяйства в хозяйствах всех категорий напрямую зависит от роста индекса продукции растениеводства</t>
  </si>
  <si>
    <t>Значительный рост индекса производства продукции растениеводства обусловлен ростом цен на продукцию растениеводства в октябре-декабре 2014 года, а также за счет увеличения посевных площадей сои и кукурузы.</t>
  </si>
  <si>
    <t>В связи с ростом цен на продукцию растениеводства в октябре-декабре 2014 года, выросло количество прибыльных предприятий, занимающихся растениеводством в том числе.</t>
  </si>
  <si>
    <t>Организации, внедрившие на своем производстве технологические инновации в агропромышленном комплексе (показатель на конец года-показатель на начало года)</t>
  </si>
  <si>
    <t>Методика расчета показателя «Прирост высокопроизводительных рабочих мест, в процентах к предыдущему году» утверждена приказом Росстата от 14 ноября 2013 г. № 449. Внесение изменений в Методику -приказ Росстата от 18 февраля 2014 г. № 115. Внесение изменений в Методику -приказ Росстата от 26 августа 2014 г. № 532.</t>
  </si>
  <si>
    <t>ГП 24 (ежеквартальное, полугодовое, годовое)</t>
  </si>
  <si>
    <t>Основная масса выдачи кредитов приходится на конец года, в связи с увеличением процентных ставокв августе 2014 года, сельскохозяйственные товаропроизводители не имели возможность привлечь кредитные массы в достаточном объеме</t>
  </si>
  <si>
    <t>По итогам отчетности Гп 28Р, ГП 29Р, ГП 30 Р, ГП30РЛПХ(ежеквартально)</t>
  </si>
  <si>
    <t>1ФП - индикаторы (2014 год), 1-ГП индикаторы (квартальный, ежегодный)</t>
  </si>
  <si>
    <t>Данные  статистической отчетности</t>
  </si>
  <si>
    <t>Снижение показателей по мясу, мясопродуктам и яйцу связано с насыщенностью рынка аналогичной продукцией, завезенной с других Регионов России и по импорту по более низким ценам</t>
  </si>
  <si>
    <t>СП-51 (отчеты предприятий - племенных репродукторов)</t>
  </si>
  <si>
    <t>В настоящий момент показатель не расчитывается</t>
  </si>
  <si>
    <t>В связи с экономической ситуацией в стране и политикой импортозамещения активизировалась потребность в КРС</t>
  </si>
  <si>
    <t>Некорректные плановые показатели программы, будут корректироваться в ближайшее время</t>
  </si>
  <si>
    <t>Общая посевная площадь (статистика)/Застрахованную посевную площадь</t>
  </si>
  <si>
    <t>На низкий показатель по потреблению продуктов собственного производства по мясопродукции повлияло объявление на территории края  режима чрезвычайной ситуации регионального характера, связанной с массовым заболеванием свиней ящуром (тип О)</t>
  </si>
  <si>
    <t>Отсутствие заявок</t>
  </si>
  <si>
    <t>Показатели перевыполнены</t>
  </si>
  <si>
    <t>Строительство школы не закончено ввиду ряда объективных причин, не относящихся к ведению департамента сельского хозяйства и продовольствия Приморского края. Департаментом  в 2014 году выделялось 50 млн. руб. на завершение строительства школы в рамках Государственной программы.</t>
  </si>
  <si>
    <t>отчет 1-УРСТ</t>
  </si>
  <si>
    <t>9*</t>
  </si>
  <si>
    <t>* в связи с тем, что срок окончания большинства мероприятий еще не истек, причины отклонений не являются информативными</t>
  </si>
  <si>
    <t>Значительных отклонений не выявлено</t>
  </si>
  <si>
    <t>В департаменте сельского хозяйства и продовольствия Приморского края предоставляются государственные услуги:
«Государственная регистрация тракторов, самоходных дорожно-строительных и иных машин и прицепов к ним»,
«Прием экзаменов на право управления самоходными машинами и выдача удостоверений тракториста-машиниста»,
«Проведение государственного технического осмотра тракторов, самоходных дорожно-строительных и иных машин и прицепов к ним».
Отчеты 1-КЧ, 5-КЧ</t>
  </si>
  <si>
    <t>Утвержденные данные статистической отчетности за 2014 год.</t>
  </si>
  <si>
    <t>3 фермер, 1-ПСХ, 24 СХ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</si>
</sst>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56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indexed="23"/>
      <name val="Times New Roman"/>
      <family val="1"/>
      <charset val="204"/>
    </font>
    <font>
      <u/>
      <sz val="14"/>
      <color theme="1"/>
      <name val="Calibri"/>
      <family val="2"/>
      <charset val="204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  <charset val="204"/>
    </font>
    <font>
      <b/>
      <u/>
      <sz val="10"/>
      <color indexed="8"/>
      <name val="Times New Roman"/>
      <family val="1"/>
      <charset val="204"/>
    </font>
    <font>
      <sz val="10"/>
      <color indexed="5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5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/>
    <xf numFmtId="0" fontId="8" fillId="0" borderId="0" xfId="0" applyFont="1"/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164" fontId="8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justify" wrapText="1"/>
    </xf>
    <xf numFmtId="0" fontId="8" fillId="0" borderId="3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justify" wrapText="1"/>
    </xf>
    <xf numFmtId="0" fontId="2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justify" wrapText="1"/>
    </xf>
    <xf numFmtId="0" fontId="8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justify" wrapText="1"/>
    </xf>
    <xf numFmtId="0" fontId="0" fillId="0" borderId="30" xfId="0" applyBorder="1" applyAlignment="1">
      <alignment horizontal="center" vertical="center" wrapText="1"/>
    </xf>
    <xf numFmtId="0" fontId="2" fillId="0" borderId="29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8" fillId="0" borderId="35" xfId="0" applyFont="1" applyBorder="1" applyAlignment="1">
      <alignment horizont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wrapText="1"/>
    </xf>
    <xf numFmtId="0" fontId="8" fillId="0" borderId="30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justify"/>
    </xf>
    <xf numFmtId="0" fontId="8" fillId="0" borderId="33" xfId="0" applyFont="1" applyBorder="1" applyAlignment="1">
      <alignment horizontal="center" vertical="center"/>
    </xf>
    <xf numFmtId="0" fontId="2" fillId="0" borderId="0" xfId="0" applyFont="1" applyFill="1"/>
    <xf numFmtId="0" fontId="16" fillId="0" borderId="0" xfId="0" applyFont="1" applyAlignment="1" applyProtection="1">
      <alignment horizontal="left" vertical="top"/>
    </xf>
    <xf numFmtId="0" fontId="17" fillId="0" borderId="0" xfId="0" applyFont="1" applyProtection="1"/>
    <xf numFmtId="0" fontId="17" fillId="0" borderId="0" xfId="0" applyFont="1"/>
    <xf numFmtId="0" fontId="17" fillId="0" borderId="15" xfId="0" applyFont="1" applyFill="1" applyBorder="1" applyAlignment="1" applyProtection="1">
      <alignment horizontal="center" vertical="center" wrapText="1"/>
    </xf>
    <xf numFmtId="0" fontId="17" fillId="0" borderId="49" xfId="0" applyFont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horizontal="center" vertical="center" wrapText="1"/>
    </xf>
    <xf numFmtId="0" fontId="20" fillId="0" borderId="21" xfId="0" applyFont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17" fillId="0" borderId="0" xfId="0" applyFont="1" applyBorder="1"/>
    <xf numFmtId="0" fontId="21" fillId="0" borderId="37" xfId="0" applyFont="1" applyBorder="1" applyAlignment="1">
      <alignment horizontal="center" vertical="top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/>
    </xf>
    <xf numFmtId="0" fontId="21" fillId="0" borderId="16" xfId="0" applyFont="1" applyFill="1" applyBorder="1" applyAlignment="1">
      <alignment horizontal="center" vertical="top"/>
    </xf>
    <xf numFmtId="1" fontId="21" fillId="0" borderId="47" xfId="0" applyNumberFormat="1" applyFont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top"/>
    </xf>
    <xf numFmtId="0" fontId="22" fillId="0" borderId="0" xfId="0" applyFont="1" applyBorder="1" applyAlignment="1">
      <alignment horizontal="left" vertical="top" wrapText="1"/>
    </xf>
    <xf numFmtId="0" fontId="21" fillId="0" borderId="50" xfId="0" applyFont="1" applyBorder="1" applyAlignment="1">
      <alignment horizontal="center" vertical="top" wrapText="1"/>
    </xf>
    <xf numFmtId="0" fontId="21" fillId="0" borderId="28" xfId="0" applyFont="1" applyFill="1" applyBorder="1" applyAlignment="1">
      <alignment horizontal="center" vertical="top" wrapText="1"/>
    </xf>
    <xf numFmtId="0" fontId="21" fillId="0" borderId="29" xfId="0" applyFont="1" applyFill="1" applyBorder="1" applyAlignment="1">
      <alignment horizontal="center" vertical="top" wrapText="1"/>
    </xf>
    <xf numFmtId="0" fontId="21" fillId="0" borderId="30" xfId="0" applyFont="1" applyFill="1" applyBorder="1" applyAlignment="1">
      <alignment horizontal="center" vertical="top"/>
    </xf>
    <xf numFmtId="0" fontId="21" fillId="0" borderId="30" xfId="0" applyFont="1" applyFill="1" applyBorder="1" applyAlignment="1">
      <alignment horizontal="center" vertical="top" wrapText="1"/>
    </xf>
    <xf numFmtId="0" fontId="21" fillId="0" borderId="48" xfId="0" applyFont="1" applyBorder="1" applyAlignment="1">
      <alignment horizontal="center" vertical="top" wrapText="1"/>
    </xf>
    <xf numFmtId="0" fontId="23" fillId="0" borderId="32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top"/>
    </xf>
    <xf numFmtId="0" fontId="21" fillId="0" borderId="32" xfId="0" applyFont="1" applyFill="1" applyBorder="1" applyAlignment="1">
      <alignment horizontal="center" vertical="top" wrapText="1"/>
    </xf>
    <xf numFmtId="0" fontId="21" fillId="0" borderId="47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top" wrapText="1"/>
    </xf>
    <xf numFmtId="0" fontId="21" fillId="0" borderId="50" xfId="0" applyNumberFormat="1" applyFont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center"/>
    </xf>
    <xf numFmtId="0" fontId="21" fillId="0" borderId="52" xfId="0" applyNumberFormat="1" applyFont="1" applyBorder="1" applyAlignment="1">
      <alignment horizontal="center" vertical="top" wrapText="1"/>
    </xf>
    <xf numFmtId="0" fontId="21" fillId="0" borderId="42" xfId="0" applyFont="1" applyFill="1" applyBorder="1" applyAlignment="1">
      <alignment horizontal="center" vertical="top" wrapText="1"/>
    </xf>
    <xf numFmtId="0" fontId="21" fillId="0" borderId="9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center"/>
    </xf>
    <xf numFmtId="0" fontId="21" fillId="0" borderId="51" xfId="0" applyFont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 vertical="top" wrapText="1"/>
    </xf>
    <xf numFmtId="0" fontId="21" fillId="0" borderId="35" xfId="0" applyFont="1" applyFill="1" applyBorder="1" applyAlignment="1">
      <alignment horizontal="center" vertical="top" wrapText="1"/>
    </xf>
    <xf numFmtId="0" fontId="21" fillId="0" borderId="36" xfId="0" applyFont="1" applyFill="1" applyBorder="1" applyAlignment="1">
      <alignment horizontal="center" vertical="top"/>
    </xf>
    <xf numFmtId="0" fontId="21" fillId="0" borderId="51" xfId="0" applyNumberFormat="1" applyFont="1" applyBorder="1" applyAlignment="1">
      <alignment horizontal="center" vertical="top" wrapText="1"/>
    </xf>
    <xf numFmtId="0" fontId="21" fillId="0" borderId="51" xfId="0" applyFont="1" applyFill="1" applyBorder="1" applyAlignment="1">
      <alignment horizontal="center" vertical="top" wrapText="1"/>
    </xf>
    <xf numFmtId="0" fontId="17" fillId="0" borderId="0" xfId="0" applyFont="1" applyFill="1"/>
    <xf numFmtId="0" fontId="21" fillId="0" borderId="50" xfId="0" applyFont="1" applyFill="1" applyBorder="1" applyAlignment="1">
      <alignment horizontal="center" vertical="top" wrapText="1"/>
    </xf>
    <xf numFmtId="0" fontId="21" fillId="0" borderId="48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1" fillId="0" borderId="47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0" fontId="22" fillId="0" borderId="0" xfId="0" applyFont="1" applyFill="1"/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left" vertical="top"/>
    </xf>
    <xf numFmtId="0" fontId="0" fillId="0" borderId="0" xfId="0" applyBorder="1"/>
    <xf numFmtId="49" fontId="22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 applyProtection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164" fontId="2" fillId="0" borderId="50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 applyProtection="1">
      <alignment horizontal="center" vertical="center" wrapText="1"/>
    </xf>
    <xf numFmtId="49" fontId="22" fillId="0" borderId="29" xfId="0" applyNumberFormat="1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164" fontId="0" fillId="0" borderId="0" xfId="0" applyNumberFormat="1"/>
    <xf numFmtId="164" fontId="2" fillId="0" borderId="36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 applyProtection="1">
      <alignment horizontal="center" vertical="center" wrapText="1"/>
    </xf>
    <xf numFmtId="49" fontId="22" fillId="0" borderId="35" xfId="0" applyNumberFormat="1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164" fontId="2" fillId="0" borderId="51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48" xfId="0" applyNumberFormat="1" applyFont="1" applyFill="1" applyBorder="1" applyAlignment="1">
      <alignment horizontal="center" vertical="center"/>
    </xf>
    <xf numFmtId="164" fontId="28" fillId="0" borderId="16" xfId="0" applyNumberFormat="1" applyFont="1" applyFill="1" applyBorder="1" applyAlignment="1">
      <alignment horizontal="center" vertical="center"/>
    </xf>
    <xf numFmtId="164" fontId="28" fillId="0" borderId="14" xfId="0" applyNumberFormat="1" applyFont="1" applyFill="1" applyBorder="1" applyAlignment="1">
      <alignment horizontal="center" vertical="center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164" fontId="2" fillId="0" borderId="37" xfId="0" applyNumberFormat="1" applyFont="1" applyFill="1" applyBorder="1" applyAlignment="1">
      <alignment horizontal="center" vertical="center"/>
    </xf>
    <xf numFmtId="164" fontId="28" fillId="0" borderId="30" xfId="0" applyNumberFormat="1" applyFont="1" applyFill="1" applyBorder="1" applyAlignment="1">
      <alignment horizontal="center" vertical="center"/>
    </xf>
    <xf numFmtId="164" fontId="28" fillId="0" borderId="29" xfId="0" applyNumberFormat="1" applyFont="1" applyFill="1" applyBorder="1" applyAlignment="1">
      <alignment horizontal="center" vertical="center"/>
    </xf>
    <xf numFmtId="164" fontId="28" fillId="0" borderId="29" xfId="0" applyNumberFormat="1" applyFont="1" applyFill="1" applyBorder="1" applyAlignment="1" applyProtection="1">
      <alignment horizontal="center" vertical="center" wrapText="1"/>
    </xf>
    <xf numFmtId="49" fontId="25" fillId="0" borderId="29" xfId="0" applyNumberFormat="1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left" vertical="center" wrapText="1"/>
    </xf>
    <xf numFmtId="164" fontId="2" fillId="0" borderId="41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164" fontId="2" fillId="0" borderId="52" xfId="0" applyNumberFormat="1" applyFont="1" applyFill="1" applyBorder="1" applyAlignment="1">
      <alignment horizontal="center" vertical="center"/>
    </xf>
    <xf numFmtId="164" fontId="28" fillId="0" borderId="36" xfId="0" applyNumberFormat="1" applyFont="1" applyFill="1" applyBorder="1" applyAlignment="1">
      <alignment horizontal="center" vertical="center"/>
    </xf>
    <xf numFmtId="164" fontId="28" fillId="0" borderId="35" xfId="0" applyNumberFormat="1" applyFont="1" applyFill="1" applyBorder="1" applyAlignment="1">
      <alignment horizontal="center" vertical="center"/>
    </xf>
    <xf numFmtId="164" fontId="28" fillId="0" borderId="35" xfId="0" applyNumberFormat="1" applyFont="1" applyFill="1" applyBorder="1" applyAlignment="1" applyProtection="1">
      <alignment horizontal="center" vertical="center" wrapText="1"/>
    </xf>
    <xf numFmtId="49" fontId="25" fillId="0" borderId="35" xfId="0" applyNumberFormat="1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left" vertical="center" wrapText="1"/>
    </xf>
    <xf numFmtId="164" fontId="2" fillId="0" borderId="27" xfId="0" applyNumberFormat="1" applyFont="1" applyFill="1" applyBorder="1" applyAlignment="1" applyProtection="1">
      <alignment horizontal="center" vertical="center" wrapText="1"/>
    </xf>
    <xf numFmtId="164" fontId="2" fillId="0" borderId="25" xfId="0" applyNumberFormat="1" applyFont="1" applyFill="1" applyBorder="1" applyAlignment="1" applyProtection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164" fontId="28" fillId="0" borderId="33" xfId="0" applyNumberFormat="1" applyFont="1" applyFill="1" applyBorder="1" applyAlignment="1" applyProtection="1">
      <alignment horizontal="center" vertical="center" wrapText="1"/>
    </xf>
    <xf numFmtId="164" fontId="28" fillId="0" borderId="15" xfId="0" applyNumberFormat="1" applyFont="1" applyFill="1" applyBorder="1" applyAlignment="1" applyProtection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15" fillId="0" borderId="12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53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4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49" fontId="22" fillId="0" borderId="5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2" fillId="0" borderId="0" xfId="0" applyFont="1"/>
    <xf numFmtId="0" fontId="30" fillId="0" borderId="0" xfId="0" applyFont="1" applyProtection="1"/>
    <xf numFmtId="0" fontId="13" fillId="0" borderId="0" xfId="0" applyFont="1" applyProtection="1"/>
    <xf numFmtId="0" fontId="24" fillId="0" borderId="0" xfId="0" applyFont="1" applyAlignment="1" applyProtection="1">
      <alignment horizontal="left" vertical="top"/>
    </xf>
    <xf numFmtId="0" fontId="33" fillId="0" borderId="0" xfId="0" applyFont="1" applyAlignment="1" applyProtection="1">
      <alignment horizontal="left" vertical="top"/>
    </xf>
    <xf numFmtId="0" fontId="13" fillId="0" borderId="0" xfId="0" applyFont="1" applyFill="1" applyProtection="1"/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vertical="center" wrapText="1"/>
    </xf>
    <xf numFmtId="0" fontId="2" fillId="0" borderId="29" xfId="0" applyFont="1" applyFill="1" applyBorder="1" applyAlignment="1" applyProtection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justify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164" fontId="3" fillId="0" borderId="35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 applyProtection="1">
      <alignment vertical="center" wrapText="1"/>
    </xf>
    <xf numFmtId="164" fontId="3" fillId="0" borderId="36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164" fontId="26" fillId="0" borderId="15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1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31" fillId="0" borderId="0" xfId="0" applyFont="1" applyAlignment="1" applyProtection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left" vertical="top" wrapText="1"/>
    </xf>
    <xf numFmtId="164" fontId="8" fillId="0" borderId="25" xfId="0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left" vertical="top" wrapText="1"/>
    </xf>
    <xf numFmtId="164" fontId="8" fillId="0" borderId="30" xfId="0" applyNumberFormat="1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left" vertical="top" wrapText="1"/>
    </xf>
    <xf numFmtId="164" fontId="8" fillId="0" borderId="29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/>
    </xf>
    <xf numFmtId="164" fontId="31" fillId="0" borderId="20" xfId="0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justify" wrapText="1"/>
    </xf>
    <xf numFmtId="164" fontId="8" fillId="0" borderId="31" xfId="0" applyNumberFormat="1" applyFont="1" applyFill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justify" wrapText="1"/>
    </xf>
    <xf numFmtId="0" fontId="8" fillId="0" borderId="42" xfId="0" applyFont="1" applyBorder="1" applyAlignment="1">
      <alignment horizontal="center" wrapText="1"/>
    </xf>
    <xf numFmtId="0" fontId="8" fillId="0" borderId="9" xfId="0" applyFont="1" applyBorder="1" applyAlignment="1">
      <alignment horizontal="justify" wrapText="1"/>
    </xf>
    <xf numFmtId="164" fontId="31" fillId="0" borderId="20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justify" wrapText="1"/>
    </xf>
    <xf numFmtId="0" fontId="8" fillId="0" borderId="25" xfId="0" applyFont="1" applyFill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wrapText="1"/>
    </xf>
    <xf numFmtId="0" fontId="8" fillId="0" borderId="15" xfId="0" applyFont="1" applyBorder="1" applyAlignment="1">
      <alignment horizontal="justify" wrapText="1"/>
    </xf>
    <xf numFmtId="0" fontId="8" fillId="0" borderId="15" xfId="0" applyFont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 wrapText="1"/>
    </xf>
    <xf numFmtId="164" fontId="31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justify" wrapText="1"/>
    </xf>
    <xf numFmtId="0" fontId="8" fillId="0" borderId="19" xfId="0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 wrapText="1"/>
    </xf>
    <xf numFmtId="164" fontId="31" fillId="0" borderId="20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wrapText="1"/>
    </xf>
    <xf numFmtId="0" fontId="39" fillId="0" borderId="14" xfId="0" applyFont="1" applyFill="1" applyBorder="1" applyAlignment="1">
      <alignment horizontal="center" vertical="center" wrapText="1"/>
    </xf>
    <xf numFmtId="164" fontId="8" fillId="0" borderId="25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left" wrapText="1"/>
    </xf>
    <xf numFmtId="164" fontId="8" fillId="0" borderId="1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wrapText="1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4" fontId="8" fillId="0" borderId="30" xfId="0" applyNumberFormat="1" applyFont="1" applyBorder="1" applyAlignment="1">
      <alignment horizontal="center" vertical="center"/>
    </xf>
    <xf numFmtId="164" fontId="8" fillId="0" borderId="29" xfId="0" applyNumberFormat="1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 wrapText="1"/>
    </xf>
    <xf numFmtId="164" fontId="8" fillId="0" borderId="33" xfId="0" applyNumberFormat="1" applyFont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30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justify"/>
    </xf>
    <xf numFmtId="0" fontId="8" fillId="0" borderId="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justify" wrapText="1"/>
    </xf>
    <xf numFmtId="0" fontId="8" fillId="0" borderId="2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0" fontId="31" fillId="0" borderId="0" xfId="0" applyFont="1" applyAlignment="1" applyProtection="1">
      <alignment horizontal="right"/>
    </xf>
    <xf numFmtId="0" fontId="31" fillId="0" borderId="0" xfId="0" applyFont="1" applyAlignment="1" applyProtection="1">
      <alignment horizontal="center" vertical="top"/>
    </xf>
    <xf numFmtId="0" fontId="31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164" fontId="31" fillId="0" borderId="0" xfId="0" applyNumberFormat="1" applyFont="1" applyBorder="1" applyAlignment="1">
      <alignment horizontal="center" vertical="center"/>
    </xf>
    <xf numFmtId="164" fontId="31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top" wrapText="1"/>
    </xf>
    <xf numFmtId="164" fontId="2" fillId="0" borderId="29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justify" vertical="center"/>
    </xf>
    <xf numFmtId="164" fontId="8" fillId="0" borderId="25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0" fontId="20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22" fillId="0" borderId="45" xfId="0" applyFont="1" applyBorder="1" applyAlignment="1">
      <alignment horizontal="center" vertical="top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 vertical="top" wrapText="1"/>
    </xf>
    <xf numFmtId="0" fontId="8" fillId="0" borderId="8" xfId="0" applyFont="1" applyFill="1" applyBorder="1" applyAlignment="1"/>
    <xf numFmtId="0" fontId="2" fillId="0" borderId="14" xfId="0" applyFont="1" applyBorder="1" applyAlignment="1"/>
    <xf numFmtId="0" fontId="21" fillId="0" borderId="2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9" fillId="0" borderId="0" xfId="0" applyFont="1" applyAlignment="1"/>
    <xf numFmtId="0" fontId="17" fillId="0" borderId="47" xfId="0" applyFont="1" applyBorder="1" applyAlignment="1" applyProtection="1">
      <alignment horizontal="center" vertical="center" wrapText="1"/>
    </xf>
    <xf numFmtId="0" fontId="17" fillId="0" borderId="48" xfId="0" applyFont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0" fontId="17" fillId="0" borderId="32" xfId="0" applyFont="1" applyFill="1" applyBorder="1" applyAlignment="1" applyProtection="1">
      <alignment horizontal="center" vertical="center" wrapText="1"/>
    </xf>
    <xf numFmtId="0" fontId="17" fillId="0" borderId="25" xfId="0" applyFont="1" applyFill="1" applyBorder="1" applyAlignment="1" applyProtection="1">
      <alignment horizontal="center" vertical="center" wrapText="1"/>
    </xf>
    <xf numFmtId="0" fontId="17" fillId="0" borderId="27" xfId="0" applyFont="1" applyFill="1" applyBorder="1" applyAlignment="1" applyProtection="1">
      <alignment horizontal="center" vertical="center" wrapText="1"/>
    </xf>
    <xf numFmtId="0" fontId="17" fillId="0" borderId="33" xfId="0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1" fillId="0" borderId="9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8" fillId="0" borderId="1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8" fillId="0" borderId="0" xfId="0" applyFont="1" applyAlignment="1" applyProtection="1">
      <alignment horizontal="center" vertical="top"/>
    </xf>
    <xf numFmtId="0" fontId="17" fillId="0" borderId="0" xfId="0" applyFont="1" applyAlignment="1">
      <alignment vertical="top"/>
    </xf>
    <xf numFmtId="0" fontId="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44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34" fillId="0" borderId="0" xfId="0" applyFont="1" applyAlignment="1">
      <alignment horizontal="center" vertical="center"/>
    </xf>
    <xf numFmtId="0" fontId="31" fillId="0" borderId="0" xfId="0" applyFont="1" applyAlignment="1" applyProtection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8" xfId="0" applyFont="1" applyBorder="1" applyAlignment="1" applyProtection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6" xfId="0" applyFont="1" applyBorder="1" applyAlignment="1" applyProtection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57" xfId="0" applyNumberFormat="1" applyFont="1" applyFill="1" applyBorder="1" applyAlignment="1">
      <alignment horizontal="center" vertical="center" wrapText="1"/>
    </xf>
    <xf numFmtId="0" fontId="2" fillId="0" borderId="56" xfId="0" applyFont="1" applyBorder="1" applyAlignment="1" applyProtection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32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31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59" xfId="0" applyBorder="1" applyAlignment="1">
      <alignment horizontal="center"/>
    </xf>
    <xf numFmtId="0" fontId="31" fillId="0" borderId="4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>
      <alignment horizontal="center" vertical="center"/>
    </xf>
    <xf numFmtId="0" fontId="31" fillId="0" borderId="0" xfId="0" applyFont="1" applyAlignment="1" applyProtection="1">
      <alignment horizontal="right"/>
    </xf>
    <xf numFmtId="0" fontId="31" fillId="0" borderId="0" xfId="0" applyFont="1" applyAlignment="1" applyProtection="1">
      <alignment horizontal="center" vertical="top"/>
    </xf>
    <xf numFmtId="0" fontId="31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0"/>
  <sheetViews>
    <sheetView tabSelected="1" view="pageBreakPreview" topLeftCell="A54" zoomScaleNormal="100" zoomScaleSheetLayoutView="100" workbookViewId="0">
      <selection activeCell="H67" sqref="H67"/>
    </sheetView>
  </sheetViews>
  <sheetFormatPr defaultRowHeight="15" x14ac:dyDescent="0.25"/>
  <cols>
    <col min="1" max="1" width="5.85546875" style="1" customWidth="1"/>
    <col min="2" max="2" width="37.85546875" style="1" customWidth="1"/>
    <col min="3" max="3" width="11.28515625" style="1" customWidth="1"/>
    <col min="4" max="4" width="15.42578125" style="1" customWidth="1"/>
    <col min="5" max="5" width="6.85546875" style="94" customWidth="1"/>
    <col min="6" max="6" width="9.140625" style="94" customWidth="1"/>
    <col min="7" max="7" width="28.7109375" style="94" customWidth="1"/>
    <col min="8" max="8" width="35.42578125" style="1" customWidth="1"/>
    <col min="9" max="255" width="9.140625" style="1"/>
    <col min="256" max="256" width="5.85546875" style="1" customWidth="1"/>
    <col min="257" max="257" width="37.85546875" style="1" customWidth="1"/>
    <col min="258" max="258" width="11.28515625" style="1" customWidth="1"/>
    <col min="259" max="259" width="16.7109375" style="1" customWidth="1"/>
    <col min="260" max="261" width="6.85546875" style="1" customWidth="1"/>
    <col min="262" max="262" width="27.5703125" style="1" customWidth="1"/>
    <col min="263" max="263" width="35" style="1" customWidth="1"/>
    <col min="264" max="511" width="9.140625" style="1"/>
    <col min="512" max="512" width="5.85546875" style="1" customWidth="1"/>
    <col min="513" max="513" width="37.85546875" style="1" customWidth="1"/>
    <col min="514" max="514" width="11.28515625" style="1" customWidth="1"/>
    <col min="515" max="515" width="16.7109375" style="1" customWidth="1"/>
    <col min="516" max="517" width="6.85546875" style="1" customWidth="1"/>
    <col min="518" max="518" width="27.5703125" style="1" customWidth="1"/>
    <col min="519" max="519" width="35" style="1" customWidth="1"/>
    <col min="520" max="767" width="9.140625" style="1"/>
    <col min="768" max="768" width="5.85546875" style="1" customWidth="1"/>
    <col min="769" max="769" width="37.85546875" style="1" customWidth="1"/>
    <col min="770" max="770" width="11.28515625" style="1" customWidth="1"/>
    <col min="771" max="771" width="16.7109375" style="1" customWidth="1"/>
    <col min="772" max="773" width="6.85546875" style="1" customWidth="1"/>
    <col min="774" max="774" width="27.5703125" style="1" customWidth="1"/>
    <col min="775" max="775" width="35" style="1" customWidth="1"/>
    <col min="776" max="1023" width="9.140625" style="1"/>
    <col min="1024" max="1024" width="5.85546875" style="1" customWidth="1"/>
    <col min="1025" max="1025" width="37.85546875" style="1" customWidth="1"/>
    <col min="1026" max="1026" width="11.28515625" style="1" customWidth="1"/>
    <col min="1027" max="1027" width="16.7109375" style="1" customWidth="1"/>
    <col min="1028" max="1029" width="6.85546875" style="1" customWidth="1"/>
    <col min="1030" max="1030" width="27.5703125" style="1" customWidth="1"/>
    <col min="1031" max="1031" width="35" style="1" customWidth="1"/>
    <col min="1032" max="1279" width="9.140625" style="1"/>
    <col min="1280" max="1280" width="5.85546875" style="1" customWidth="1"/>
    <col min="1281" max="1281" width="37.85546875" style="1" customWidth="1"/>
    <col min="1282" max="1282" width="11.28515625" style="1" customWidth="1"/>
    <col min="1283" max="1283" width="16.7109375" style="1" customWidth="1"/>
    <col min="1284" max="1285" width="6.85546875" style="1" customWidth="1"/>
    <col min="1286" max="1286" width="27.5703125" style="1" customWidth="1"/>
    <col min="1287" max="1287" width="35" style="1" customWidth="1"/>
    <col min="1288" max="1535" width="9.140625" style="1"/>
    <col min="1536" max="1536" width="5.85546875" style="1" customWidth="1"/>
    <col min="1537" max="1537" width="37.85546875" style="1" customWidth="1"/>
    <col min="1538" max="1538" width="11.28515625" style="1" customWidth="1"/>
    <col min="1539" max="1539" width="16.7109375" style="1" customWidth="1"/>
    <col min="1540" max="1541" width="6.85546875" style="1" customWidth="1"/>
    <col min="1542" max="1542" width="27.5703125" style="1" customWidth="1"/>
    <col min="1543" max="1543" width="35" style="1" customWidth="1"/>
    <col min="1544" max="1791" width="9.140625" style="1"/>
    <col min="1792" max="1792" width="5.85546875" style="1" customWidth="1"/>
    <col min="1793" max="1793" width="37.85546875" style="1" customWidth="1"/>
    <col min="1794" max="1794" width="11.28515625" style="1" customWidth="1"/>
    <col min="1795" max="1795" width="16.7109375" style="1" customWidth="1"/>
    <col min="1796" max="1797" width="6.85546875" style="1" customWidth="1"/>
    <col min="1798" max="1798" width="27.5703125" style="1" customWidth="1"/>
    <col min="1799" max="1799" width="35" style="1" customWidth="1"/>
    <col min="1800" max="2047" width="9.140625" style="1"/>
    <col min="2048" max="2048" width="5.85546875" style="1" customWidth="1"/>
    <col min="2049" max="2049" width="37.85546875" style="1" customWidth="1"/>
    <col min="2050" max="2050" width="11.28515625" style="1" customWidth="1"/>
    <col min="2051" max="2051" width="16.7109375" style="1" customWidth="1"/>
    <col min="2052" max="2053" width="6.85546875" style="1" customWidth="1"/>
    <col min="2054" max="2054" width="27.5703125" style="1" customWidth="1"/>
    <col min="2055" max="2055" width="35" style="1" customWidth="1"/>
    <col min="2056" max="2303" width="9.140625" style="1"/>
    <col min="2304" max="2304" width="5.85546875" style="1" customWidth="1"/>
    <col min="2305" max="2305" width="37.85546875" style="1" customWidth="1"/>
    <col min="2306" max="2306" width="11.28515625" style="1" customWidth="1"/>
    <col min="2307" max="2307" width="16.7109375" style="1" customWidth="1"/>
    <col min="2308" max="2309" width="6.85546875" style="1" customWidth="1"/>
    <col min="2310" max="2310" width="27.5703125" style="1" customWidth="1"/>
    <col min="2311" max="2311" width="35" style="1" customWidth="1"/>
    <col min="2312" max="2559" width="9.140625" style="1"/>
    <col min="2560" max="2560" width="5.85546875" style="1" customWidth="1"/>
    <col min="2561" max="2561" width="37.85546875" style="1" customWidth="1"/>
    <col min="2562" max="2562" width="11.28515625" style="1" customWidth="1"/>
    <col min="2563" max="2563" width="16.7109375" style="1" customWidth="1"/>
    <col min="2564" max="2565" width="6.85546875" style="1" customWidth="1"/>
    <col min="2566" max="2566" width="27.5703125" style="1" customWidth="1"/>
    <col min="2567" max="2567" width="35" style="1" customWidth="1"/>
    <col min="2568" max="2815" width="9.140625" style="1"/>
    <col min="2816" max="2816" width="5.85546875" style="1" customWidth="1"/>
    <col min="2817" max="2817" width="37.85546875" style="1" customWidth="1"/>
    <col min="2818" max="2818" width="11.28515625" style="1" customWidth="1"/>
    <col min="2819" max="2819" width="16.7109375" style="1" customWidth="1"/>
    <col min="2820" max="2821" width="6.85546875" style="1" customWidth="1"/>
    <col min="2822" max="2822" width="27.5703125" style="1" customWidth="1"/>
    <col min="2823" max="2823" width="35" style="1" customWidth="1"/>
    <col min="2824" max="3071" width="9.140625" style="1"/>
    <col min="3072" max="3072" width="5.85546875" style="1" customWidth="1"/>
    <col min="3073" max="3073" width="37.85546875" style="1" customWidth="1"/>
    <col min="3074" max="3074" width="11.28515625" style="1" customWidth="1"/>
    <col min="3075" max="3075" width="16.7109375" style="1" customWidth="1"/>
    <col min="3076" max="3077" width="6.85546875" style="1" customWidth="1"/>
    <col min="3078" max="3078" width="27.5703125" style="1" customWidth="1"/>
    <col min="3079" max="3079" width="35" style="1" customWidth="1"/>
    <col min="3080" max="3327" width="9.140625" style="1"/>
    <col min="3328" max="3328" width="5.85546875" style="1" customWidth="1"/>
    <col min="3329" max="3329" width="37.85546875" style="1" customWidth="1"/>
    <col min="3330" max="3330" width="11.28515625" style="1" customWidth="1"/>
    <col min="3331" max="3331" width="16.7109375" style="1" customWidth="1"/>
    <col min="3332" max="3333" width="6.85546875" style="1" customWidth="1"/>
    <col min="3334" max="3334" width="27.5703125" style="1" customWidth="1"/>
    <col min="3335" max="3335" width="35" style="1" customWidth="1"/>
    <col min="3336" max="3583" width="9.140625" style="1"/>
    <col min="3584" max="3584" width="5.85546875" style="1" customWidth="1"/>
    <col min="3585" max="3585" width="37.85546875" style="1" customWidth="1"/>
    <col min="3586" max="3586" width="11.28515625" style="1" customWidth="1"/>
    <col min="3587" max="3587" width="16.7109375" style="1" customWidth="1"/>
    <col min="3588" max="3589" width="6.85546875" style="1" customWidth="1"/>
    <col min="3590" max="3590" width="27.5703125" style="1" customWidth="1"/>
    <col min="3591" max="3591" width="35" style="1" customWidth="1"/>
    <col min="3592" max="3839" width="9.140625" style="1"/>
    <col min="3840" max="3840" width="5.85546875" style="1" customWidth="1"/>
    <col min="3841" max="3841" width="37.85546875" style="1" customWidth="1"/>
    <col min="3842" max="3842" width="11.28515625" style="1" customWidth="1"/>
    <col min="3843" max="3843" width="16.7109375" style="1" customWidth="1"/>
    <col min="3844" max="3845" width="6.85546875" style="1" customWidth="1"/>
    <col min="3846" max="3846" width="27.5703125" style="1" customWidth="1"/>
    <col min="3847" max="3847" width="35" style="1" customWidth="1"/>
    <col min="3848" max="4095" width="9.140625" style="1"/>
    <col min="4096" max="4096" width="5.85546875" style="1" customWidth="1"/>
    <col min="4097" max="4097" width="37.85546875" style="1" customWidth="1"/>
    <col min="4098" max="4098" width="11.28515625" style="1" customWidth="1"/>
    <col min="4099" max="4099" width="16.7109375" style="1" customWidth="1"/>
    <col min="4100" max="4101" width="6.85546875" style="1" customWidth="1"/>
    <col min="4102" max="4102" width="27.5703125" style="1" customWidth="1"/>
    <col min="4103" max="4103" width="35" style="1" customWidth="1"/>
    <col min="4104" max="4351" width="9.140625" style="1"/>
    <col min="4352" max="4352" width="5.85546875" style="1" customWidth="1"/>
    <col min="4353" max="4353" width="37.85546875" style="1" customWidth="1"/>
    <col min="4354" max="4354" width="11.28515625" style="1" customWidth="1"/>
    <col min="4355" max="4355" width="16.7109375" style="1" customWidth="1"/>
    <col min="4356" max="4357" width="6.85546875" style="1" customWidth="1"/>
    <col min="4358" max="4358" width="27.5703125" style="1" customWidth="1"/>
    <col min="4359" max="4359" width="35" style="1" customWidth="1"/>
    <col min="4360" max="4607" width="9.140625" style="1"/>
    <col min="4608" max="4608" width="5.85546875" style="1" customWidth="1"/>
    <col min="4609" max="4609" width="37.85546875" style="1" customWidth="1"/>
    <col min="4610" max="4610" width="11.28515625" style="1" customWidth="1"/>
    <col min="4611" max="4611" width="16.7109375" style="1" customWidth="1"/>
    <col min="4612" max="4613" width="6.85546875" style="1" customWidth="1"/>
    <col min="4614" max="4614" width="27.5703125" style="1" customWidth="1"/>
    <col min="4615" max="4615" width="35" style="1" customWidth="1"/>
    <col min="4616" max="4863" width="9.140625" style="1"/>
    <col min="4864" max="4864" width="5.85546875" style="1" customWidth="1"/>
    <col min="4865" max="4865" width="37.85546875" style="1" customWidth="1"/>
    <col min="4866" max="4866" width="11.28515625" style="1" customWidth="1"/>
    <col min="4867" max="4867" width="16.7109375" style="1" customWidth="1"/>
    <col min="4868" max="4869" width="6.85546875" style="1" customWidth="1"/>
    <col min="4870" max="4870" width="27.5703125" style="1" customWidth="1"/>
    <col min="4871" max="4871" width="35" style="1" customWidth="1"/>
    <col min="4872" max="5119" width="9.140625" style="1"/>
    <col min="5120" max="5120" width="5.85546875" style="1" customWidth="1"/>
    <col min="5121" max="5121" width="37.85546875" style="1" customWidth="1"/>
    <col min="5122" max="5122" width="11.28515625" style="1" customWidth="1"/>
    <col min="5123" max="5123" width="16.7109375" style="1" customWidth="1"/>
    <col min="5124" max="5125" width="6.85546875" style="1" customWidth="1"/>
    <col min="5126" max="5126" width="27.5703125" style="1" customWidth="1"/>
    <col min="5127" max="5127" width="35" style="1" customWidth="1"/>
    <col min="5128" max="5375" width="9.140625" style="1"/>
    <col min="5376" max="5376" width="5.85546875" style="1" customWidth="1"/>
    <col min="5377" max="5377" width="37.85546875" style="1" customWidth="1"/>
    <col min="5378" max="5378" width="11.28515625" style="1" customWidth="1"/>
    <col min="5379" max="5379" width="16.7109375" style="1" customWidth="1"/>
    <col min="5380" max="5381" width="6.85546875" style="1" customWidth="1"/>
    <col min="5382" max="5382" width="27.5703125" style="1" customWidth="1"/>
    <col min="5383" max="5383" width="35" style="1" customWidth="1"/>
    <col min="5384" max="5631" width="9.140625" style="1"/>
    <col min="5632" max="5632" width="5.85546875" style="1" customWidth="1"/>
    <col min="5633" max="5633" width="37.85546875" style="1" customWidth="1"/>
    <col min="5634" max="5634" width="11.28515625" style="1" customWidth="1"/>
    <col min="5635" max="5635" width="16.7109375" style="1" customWidth="1"/>
    <col min="5636" max="5637" width="6.85546875" style="1" customWidth="1"/>
    <col min="5638" max="5638" width="27.5703125" style="1" customWidth="1"/>
    <col min="5639" max="5639" width="35" style="1" customWidth="1"/>
    <col min="5640" max="5887" width="9.140625" style="1"/>
    <col min="5888" max="5888" width="5.85546875" style="1" customWidth="1"/>
    <col min="5889" max="5889" width="37.85546875" style="1" customWidth="1"/>
    <col min="5890" max="5890" width="11.28515625" style="1" customWidth="1"/>
    <col min="5891" max="5891" width="16.7109375" style="1" customWidth="1"/>
    <col min="5892" max="5893" width="6.85546875" style="1" customWidth="1"/>
    <col min="5894" max="5894" width="27.5703125" style="1" customWidth="1"/>
    <col min="5895" max="5895" width="35" style="1" customWidth="1"/>
    <col min="5896" max="6143" width="9.140625" style="1"/>
    <col min="6144" max="6144" width="5.85546875" style="1" customWidth="1"/>
    <col min="6145" max="6145" width="37.85546875" style="1" customWidth="1"/>
    <col min="6146" max="6146" width="11.28515625" style="1" customWidth="1"/>
    <col min="6147" max="6147" width="16.7109375" style="1" customWidth="1"/>
    <col min="6148" max="6149" width="6.85546875" style="1" customWidth="1"/>
    <col min="6150" max="6150" width="27.5703125" style="1" customWidth="1"/>
    <col min="6151" max="6151" width="35" style="1" customWidth="1"/>
    <col min="6152" max="6399" width="9.140625" style="1"/>
    <col min="6400" max="6400" width="5.85546875" style="1" customWidth="1"/>
    <col min="6401" max="6401" width="37.85546875" style="1" customWidth="1"/>
    <col min="6402" max="6402" width="11.28515625" style="1" customWidth="1"/>
    <col min="6403" max="6403" width="16.7109375" style="1" customWidth="1"/>
    <col min="6404" max="6405" width="6.85546875" style="1" customWidth="1"/>
    <col min="6406" max="6406" width="27.5703125" style="1" customWidth="1"/>
    <col min="6407" max="6407" width="35" style="1" customWidth="1"/>
    <col min="6408" max="6655" width="9.140625" style="1"/>
    <col min="6656" max="6656" width="5.85546875" style="1" customWidth="1"/>
    <col min="6657" max="6657" width="37.85546875" style="1" customWidth="1"/>
    <col min="6658" max="6658" width="11.28515625" style="1" customWidth="1"/>
    <col min="6659" max="6659" width="16.7109375" style="1" customWidth="1"/>
    <col min="6660" max="6661" width="6.85546875" style="1" customWidth="1"/>
    <col min="6662" max="6662" width="27.5703125" style="1" customWidth="1"/>
    <col min="6663" max="6663" width="35" style="1" customWidth="1"/>
    <col min="6664" max="6911" width="9.140625" style="1"/>
    <col min="6912" max="6912" width="5.85546875" style="1" customWidth="1"/>
    <col min="6913" max="6913" width="37.85546875" style="1" customWidth="1"/>
    <col min="6914" max="6914" width="11.28515625" style="1" customWidth="1"/>
    <col min="6915" max="6915" width="16.7109375" style="1" customWidth="1"/>
    <col min="6916" max="6917" width="6.85546875" style="1" customWidth="1"/>
    <col min="6918" max="6918" width="27.5703125" style="1" customWidth="1"/>
    <col min="6919" max="6919" width="35" style="1" customWidth="1"/>
    <col min="6920" max="7167" width="9.140625" style="1"/>
    <col min="7168" max="7168" width="5.85546875" style="1" customWidth="1"/>
    <col min="7169" max="7169" width="37.85546875" style="1" customWidth="1"/>
    <col min="7170" max="7170" width="11.28515625" style="1" customWidth="1"/>
    <col min="7171" max="7171" width="16.7109375" style="1" customWidth="1"/>
    <col min="7172" max="7173" width="6.85546875" style="1" customWidth="1"/>
    <col min="7174" max="7174" width="27.5703125" style="1" customWidth="1"/>
    <col min="7175" max="7175" width="35" style="1" customWidth="1"/>
    <col min="7176" max="7423" width="9.140625" style="1"/>
    <col min="7424" max="7424" width="5.85546875" style="1" customWidth="1"/>
    <col min="7425" max="7425" width="37.85546875" style="1" customWidth="1"/>
    <col min="7426" max="7426" width="11.28515625" style="1" customWidth="1"/>
    <col min="7427" max="7427" width="16.7109375" style="1" customWidth="1"/>
    <col min="7428" max="7429" width="6.85546875" style="1" customWidth="1"/>
    <col min="7430" max="7430" width="27.5703125" style="1" customWidth="1"/>
    <col min="7431" max="7431" width="35" style="1" customWidth="1"/>
    <col min="7432" max="7679" width="9.140625" style="1"/>
    <col min="7680" max="7680" width="5.85546875" style="1" customWidth="1"/>
    <col min="7681" max="7681" width="37.85546875" style="1" customWidth="1"/>
    <col min="7682" max="7682" width="11.28515625" style="1" customWidth="1"/>
    <col min="7683" max="7683" width="16.7109375" style="1" customWidth="1"/>
    <col min="7684" max="7685" width="6.85546875" style="1" customWidth="1"/>
    <col min="7686" max="7686" width="27.5703125" style="1" customWidth="1"/>
    <col min="7687" max="7687" width="35" style="1" customWidth="1"/>
    <col min="7688" max="7935" width="9.140625" style="1"/>
    <col min="7936" max="7936" width="5.85546875" style="1" customWidth="1"/>
    <col min="7937" max="7937" width="37.85546875" style="1" customWidth="1"/>
    <col min="7938" max="7938" width="11.28515625" style="1" customWidth="1"/>
    <col min="7939" max="7939" width="16.7109375" style="1" customWidth="1"/>
    <col min="7940" max="7941" width="6.85546875" style="1" customWidth="1"/>
    <col min="7942" max="7942" width="27.5703125" style="1" customWidth="1"/>
    <col min="7943" max="7943" width="35" style="1" customWidth="1"/>
    <col min="7944" max="8191" width="9.140625" style="1"/>
    <col min="8192" max="8192" width="5.85546875" style="1" customWidth="1"/>
    <col min="8193" max="8193" width="37.85546875" style="1" customWidth="1"/>
    <col min="8194" max="8194" width="11.28515625" style="1" customWidth="1"/>
    <col min="8195" max="8195" width="16.7109375" style="1" customWidth="1"/>
    <col min="8196" max="8197" width="6.85546875" style="1" customWidth="1"/>
    <col min="8198" max="8198" width="27.5703125" style="1" customWidth="1"/>
    <col min="8199" max="8199" width="35" style="1" customWidth="1"/>
    <col min="8200" max="8447" width="9.140625" style="1"/>
    <col min="8448" max="8448" width="5.85546875" style="1" customWidth="1"/>
    <col min="8449" max="8449" width="37.85546875" style="1" customWidth="1"/>
    <col min="8450" max="8450" width="11.28515625" style="1" customWidth="1"/>
    <col min="8451" max="8451" width="16.7109375" style="1" customWidth="1"/>
    <col min="8452" max="8453" width="6.85546875" style="1" customWidth="1"/>
    <col min="8454" max="8454" width="27.5703125" style="1" customWidth="1"/>
    <col min="8455" max="8455" width="35" style="1" customWidth="1"/>
    <col min="8456" max="8703" width="9.140625" style="1"/>
    <col min="8704" max="8704" width="5.85546875" style="1" customWidth="1"/>
    <col min="8705" max="8705" width="37.85546875" style="1" customWidth="1"/>
    <col min="8706" max="8706" width="11.28515625" style="1" customWidth="1"/>
    <col min="8707" max="8707" width="16.7109375" style="1" customWidth="1"/>
    <col min="8708" max="8709" width="6.85546875" style="1" customWidth="1"/>
    <col min="8710" max="8710" width="27.5703125" style="1" customWidth="1"/>
    <col min="8711" max="8711" width="35" style="1" customWidth="1"/>
    <col min="8712" max="8959" width="9.140625" style="1"/>
    <col min="8960" max="8960" width="5.85546875" style="1" customWidth="1"/>
    <col min="8961" max="8961" width="37.85546875" style="1" customWidth="1"/>
    <col min="8962" max="8962" width="11.28515625" style="1" customWidth="1"/>
    <col min="8963" max="8963" width="16.7109375" style="1" customWidth="1"/>
    <col min="8964" max="8965" width="6.85546875" style="1" customWidth="1"/>
    <col min="8966" max="8966" width="27.5703125" style="1" customWidth="1"/>
    <col min="8967" max="8967" width="35" style="1" customWidth="1"/>
    <col min="8968" max="9215" width="9.140625" style="1"/>
    <col min="9216" max="9216" width="5.85546875" style="1" customWidth="1"/>
    <col min="9217" max="9217" width="37.85546875" style="1" customWidth="1"/>
    <col min="9218" max="9218" width="11.28515625" style="1" customWidth="1"/>
    <col min="9219" max="9219" width="16.7109375" style="1" customWidth="1"/>
    <col min="9220" max="9221" width="6.85546875" style="1" customWidth="1"/>
    <col min="9222" max="9222" width="27.5703125" style="1" customWidth="1"/>
    <col min="9223" max="9223" width="35" style="1" customWidth="1"/>
    <col min="9224" max="9471" width="9.140625" style="1"/>
    <col min="9472" max="9472" width="5.85546875" style="1" customWidth="1"/>
    <col min="9473" max="9473" width="37.85546875" style="1" customWidth="1"/>
    <col min="9474" max="9474" width="11.28515625" style="1" customWidth="1"/>
    <col min="9475" max="9475" width="16.7109375" style="1" customWidth="1"/>
    <col min="9476" max="9477" width="6.85546875" style="1" customWidth="1"/>
    <col min="9478" max="9478" width="27.5703125" style="1" customWidth="1"/>
    <col min="9479" max="9479" width="35" style="1" customWidth="1"/>
    <col min="9480" max="9727" width="9.140625" style="1"/>
    <col min="9728" max="9728" width="5.85546875" style="1" customWidth="1"/>
    <col min="9729" max="9729" width="37.85546875" style="1" customWidth="1"/>
    <col min="9730" max="9730" width="11.28515625" style="1" customWidth="1"/>
    <col min="9731" max="9731" width="16.7109375" style="1" customWidth="1"/>
    <col min="9732" max="9733" width="6.85546875" style="1" customWidth="1"/>
    <col min="9734" max="9734" width="27.5703125" style="1" customWidth="1"/>
    <col min="9735" max="9735" width="35" style="1" customWidth="1"/>
    <col min="9736" max="9983" width="9.140625" style="1"/>
    <col min="9984" max="9984" width="5.85546875" style="1" customWidth="1"/>
    <col min="9985" max="9985" width="37.85546875" style="1" customWidth="1"/>
    <col min="9986" max="9986" width="11.28515625" style="1" customWidth="1"/>
    <col min="9987" max="9987" width="16.7109375" style="1" customWidth="1"/>
    <col min="9988" max="9989" width="6.85546875" style="1" customWidth="1"/>
    <col min="9990" max="9990" width="27.5703125" style="1" customWidth="1"/>
    <col min="9991" max="9991" width="35" style="1" customWidth="1"/>
    <col min="9992" max="10239" width="9.140625" style="1"/>
    <col min="10240" max="10240" width="5.85546875" style="1" customWidth="1"/>
    <col min="10241" max="10241" width="37.85546875" style="1" customWidth="1"/>
    <col min="10242" max="10242" width="11.28515625" style="1" customWidth="1"/>
    <col min="10243" max="10243" width="16.7109375" style="1" customWidth="1"/>
    <col min="10244" max="10245" width="6.85546875" style="1" customWidth="1"/>
    <col min="10246" max="10246" width="27.5703125" style="1" customWidth="1"/>
    <col min="10247" max="10247" width="35" style="1" customWidth="1"/>
    <col min="10248" max="10495" width="9.140625" style="1"/>
    <col min="10496" max="10496" width="5.85546875" style="1" customWidth="1"/>
    <col min="10497" max="10497" width="37.85546875" style="1" customWidth="1"/>
    <col min="10498" max="10498" width="11.28515625" style="1" customWidth="1"/>
    <col min="10499" max="10499" width="16.7109375" style="1" customWidth="1"/>
    <col min="10500" max="10501" width="6.85546875" style="1" customWidth="1"/>
    <col min="10502" max="10502" width="27.5703125" style="1" customWidth="1"/>
    <col min="10503" max="10503" width="35" style="1" customWidth="1"/>
    <col min="10504" max="10751" width="9.140625" style="1"/>
    <col min="10752" max="10752" width="5.85546875" style="1" customWidth="1"/>
    <col min="10753" max="10753" width="37.85546875" style="1" customWidth="1"/>
    <col min="10754" max="10754" width="11.28515625" style="1" customWidth="1"/>
    <col min="10755" max="10755" width="16.7109375" style="1" customWidth="1"/>
    <col min="10756" max="10757" width="6.85546875" style="1" customWidth="1"/>
    <col min="10758" max="10758" width="27.5703125" style="1" customWidth="1"/>
    <col min="10759" max="10759" width="35" style="1" customWidth="1"/>
    <col min="10760" max="11007" width="9.140625" style="1"/>
    <col min="11008" max="11008" width="5.85546875" style="1" customWidth="1"/>
    <col min="11009" max="11009" width="37.85546875" style="1" customWidth="1"/>
    <col min="11010" max="11010" width="11.28515625" style="1" customWidth="1"/>
    <col min="11011" max="11011" width="16.7109375" style="1" customWidth="1"/>
    <col min="11012" max="11013" width="6.85546875" style="1" customWidth="1"/>
    <col min="11014" max="11014" width="27.5703125" style="1" customWidth="1"/>
    <col min="11015" max="11015" width="35" style="1" customWidth="1"/>
    <col min="11016" max="11263" width="9.140625" style="1"/>
    <col min="11264" max="11264" width="5.85546875" style="1" customWidth="1"/>
    <col min="11265" max="11265" width="37.85546875" style="1" customWidth="1"/>
    <col min="11266" max="11266" width="11.28515625" style="1" customWidth="1"/>
    <col min="11267" max="11267" width="16.7109375" style="1" customWidth="1"/>
    <col min="11268" max="11269" width="6.85546875" style="1" customWidth="1"/>
    <col min="11270" max="11270" width="27.5703125" style="1" customWidth="1"/>
    <col min="11271" max="11271" width="35" style="1" customWidth="1"/>
    <col min="11272" max="11519" width="9.140625" style="1"/>
    <col min="11520" max="11520" width="5.85546875" style="1" customWidth="1"/>
    <col min="11521" max="11521" width="37.85546875" style="1" customWidth="1"/>
    <col min="11522" max="11522" width="11.28515625" style="1" customWidth="1"/>
    <col min="11523" max="11523" width="16.7109375" style="1" customWidth="1"/>
    <col min="11524" max="11525" width="6.85546875" style="1" customWidth="1"/>
    <col min="11526" max="11526" width="27.5703125" style="1" customWidth="1"/>
    <col min="11527" max="11527" width="35" style="1" customWidth="1"/>
    <col min="11528" max="11775" width="9.140625" style="1"/>
    <col min="11776" max="11776" width="5.85546875" style="1" customWidth="1"/>
    <col min="11777" max="11777" width="37.85546875" style="1" customWidth="1"/>
    <col min="11778" max="11778" width="11.28515625" style="1" customWidth="1"/>
    <col min="11779" max="11779" width="16.7109375" style="1" customWidth="1"/>
    <col min="11780" max="11781" width="6.85546875" style="1" customWidth="1"/>
    <col min="11782" max="11782" width="27.5703125" style="1" customWidth="1"/>
    <col min="11783" max="11783" width="35" style="1" customWidth="1"/>
    <col min="11784" max="12031" width="9.140625" style="1"/>
    <col min="12032" max="12032" width="5.85546875" style="1" customWidth="1"/>
    <col min="12033" max="12033" width="37.85546875" style="1" customWidth="1"/>
    <col min="12034" max="12034" width="11.28515625" style="1" customWidth="1"/>
    <col min="12035" max="12035" width="16.7109375" style="1" customWidth="1"/>
    <col min="12036" max="12037" width="6.85546875" style="1" customWidth="1"/>
    <col min="12038" max="12038" width="27.5703125" style="1" customWidth="1"/>
    <col min="12039" max="12039" width="35" style="1" customWidth="1"/>
    <col min="12040" max="12287" width="9.140625" style="1"/>
    <col min="12288" max="12288" width="5.85546875" style="1" customWidth="1"/>
    <col min="12289" max="12289" width="37.85546875" style="1" customWidth="1"/>
    <col min="12290" max="12290" width="11.28515625" style="1" customWidth="1"/>
    <col min="12291" max="12291" width="16.7109375" style="1" customWidth="1"/>
    <col min="12292" max="12293" width="6.85546875" style="1" customWidth="1"/>
    <col min="12294" max="12294" width="27.5703125" style="1" customWidth="1"/>
    <col min="12295" max="12295" width="35" style="1" customWidth="1"/>
    <col min="12296" max="12543" width="9.140625" style="1"/>
    <col min="12544" max="12544" width="5.85546875" style="1" customWidth="1"/>
    <col min="12545" max="12545" width="37.85546875" style="1" customWidth="1"/>
    <col min="12546" max="12546" width="11.28515625" style="1" customWidth="1"/>
    <col min="12547" max="12547" width="16.7109375" style="1" customWidth="1"/>
    <col min="12548" max="12549" width="6.85546875" style="1" customWidth="1"/>
    <col min="12550" max="12550" width="27.5703125" style="1" customWidth="1"/>
    <col min="12551" max="12551" width="35" style="1" customWidth="1"/>
    <col min="12552" max="12799" width="9.140625" style="1"/>
    <col min="12800" max="12800" width="5.85546875" style="1" customWidth="1"/>
    <col min="12801" max="12801" width="37.85546875" style="1" customWidth="1"/>
    <col min="12802" max="12802" width="11.28515625" style="1" customWidth="1"/>
    <col min="12803" max="12803" width="16.7109375" style="1" customWidth="1"/>
    <col min="12804" max="12805" width="6.85546875" style="1" customWidth="1"/>
    <col min="12806" max="12806" width="27.5703125" style="1" customWidth="1"/>
    <col min="12807" max="12807" width="35" style="1" customWidth="1"/>
    <col min="12808" max="13055" width="9.140625" style="1"/>
    <col min="13056" max="13056" width="5.85546875" style="1" customWidth="1"/>
    <col min="13057" max="13057" width="37.85546875" style="1" customWidth="1"/>
    <col min="13058" max="13058" width="11.28515625" style="1" customWidth="1"/>
    <col min="13059" max="13059" width="16.7109375" style="1" customWidth="1"/>
    <col min="13060" max="13061" width="6.85546875" style="1" customWidth="1"/>
    <col min="13062" max="13062" width="27.5703125" style="1" customWidth="1"/>
    <col min="13063" max="13063" width="35" style="1" customWidth="1"/>
    <col min="13064" max="13311" width="9.140625" style="1"/>
    <col min="13312" max="13312" width="5.85546875" style="1" customWidth="1"/>
    <col min="13313" max="13313" width="37.85546875" style="1" customWidth="1"/>
    <col min="13314" max="13314" width="11.28515625" style="1" customWidth="1"/>
    <col min="13315" max="13315" width="16.7109375" style="1" customWidth="1"/>
    <col min="13316" max="13317" width="6.85546875" style="1" customWidth="1"/>
    <col min="13318" max="13318" width="27.5703125" style="1" customWidth="1"/>
    <col min="13319" max="13319" width="35" style="1" customWidth="1"/>
    <col min="13320" max="13567" width="9.140625" style="1"/>
    <col min="13568" max="13568" width="5.85546875" style="1" customWidth="1"/>
    <col min="13569" max="13569" width="37.85546875" style="1" customWidth="1"/>
    <col min="13570" max="13570" width="11.28515625" style="1" customWidth="1"/>
    <col min="13571" max="13571" width="16.7109375" style="1" customWidth="1"/>
    <col min="13572" max="13573" width="6.85546875" style="1" customWidth="1"/>
    <col min="13574" max="13574" width="27.5703125" style="1" customWidth="1"/>
    <col min="13575" max="13575" width="35" style="1" customWidth="1"/>
    <col min="13576" max="13823" width="9.140625" style="1"/>
    <col min="13824" max="13824" width="5.85546875" style="1" customWidth="1"/>
    <col min="13825" max="13825" width="37.85546875" style="1" customWidth="1"/>
    <col min="13826" max="13826" width="11.28515625" style="1" customWidth="1"/>
    <col min="13827" max="13827" width="16.7109375" style="1" customWidth="1"/>
    <col min="13828" max="13829" width="6.85546875" style="1" customWidth="1"/>
    <col min="13830" max="13830" width="27.5703125" style="1" customWidth="1"/>
    <col min="13831" max="13831" width="35" style="1" customWidth="1"/>
    <col min="13832" max="14079" width="9.140625" style="1"/>
    <col min="14080" max="14080" width="5.85546875" style="1" customWidth="1"/>
    <col min="14081" max="14081" width="37.85546875" style="1" customWidth="1"/>
    <col min="14082" max="14082" width="11.28515625" style="1" customWidth="1"/>
    <col min="14083" max="14083" width="16.7109375" style="1" customWidth="1"/>
    <col min="14084" max="14085" width="6.85546875" style="1" customWidth="1"/>
    <col min="14086" max="14086" width="27.5703125" style="1" customWidth="1"/>
    <col min="14087" max="14087" width="35" style="1" customWidth="1"/>
    <col min="14088" max="14335" width="9.140625" style="1"/>
    <col min="14336" max="14336" width="5.85546875" style="1" customWidth="1"/>
    <col min="14337" max="14337" width="37.85546875" style="1" customWidth="1"/>
    <col min="14338" max="14338" width="11.28515625" style="1" customWidth="1"/>
    <col min="14339" max="14339" width="16.7109375" style="1" customWidth="1"/>
    <col min="14340" max="14341" width="6.85546875" style="1" customWidth="1"/>
    <col min="14342" max="14342" width="27.5703125" style="1" customWidth="1"/>
    <col min="14343" max="14343" width="35" style="1" customWidth="1"/>
    <col min="14344" max="14591" width="9.140625" style="1"/>
    <col min="14592" max="14592" width="5.85546875" style="1" customWidth="1"/>
    <col min="14593" max="14593" width="37.85546875" style="1" customWidth="1"/>
    <col min="14594" max="14594" width="11.28515625" style="1" customWidth="1"/>
    <col min="14595" max="14595" width="16.7109375" style="1" customWidth="1"/>
    <col min="14596" max="14597" width="6.85546875" style="1" customWidth="1"/>
    <col min="14598" max="14598" width="27.5703125" style="1" customWidth="1"/>
    <col min="14599" max="14599" width="35" style="1" customWidth="1"/>
    <col min="14600" max="14847" width="9.140625" style="1"/>
    <col min="14848" max="14848" width="5.85546875" style="1" customWidth="1"/>
    <col min="14849" max="14849" width="37.85546875" style="1" customWidth="1"/>
    <col min="14850" max="14850" width="11.28515625" style="1" customWidth="1"/>
    <col min="14851" max="14851" width="16.7109375" style="1" customWidth="1"/>
    <col min="14852" max="14853" width="6.85546875" style="1" customWidth="1"/>
    <col min="14854" max="14854" width="27.5703125" style="1" customWidth="1"/>
    <col min="14855" max="14855" width="35" style="1" customWidth="1"/>
    <col min="14856" max="15103" width="9.140625" style="1"/>
    <col min="15104" max="15104" width="5.85546875" style="1" customWidth="1"/>
    <col min="15105" max="15105" width="37.85546875" style="1" customWidth="1"/>
    <col min="15106" max="15106" width="11.28515625" style="1" customWidth="1"/>
    <col min="15107" max="15107" width="16.7109375" style="1" customWidth="1"/>
    <col min="15108" max="15109" width="6.85546875" style="1" customWidth="1"/>
    <col min="15110" max="15110" width="27.5703125" style="1" customWidth="1"/>
    <col min="15111" max="15111" width="35" style="1" customWidth="1"/>
    <col min="15112" max="15359" width="9.140625" style="1"/>
    <col min="15360" max="15360" width="5.85546875" style="1" customWidth="1"/>
    <col min="15361" max="15361" width="37.85546875" style="1" customWidth="1"/>
    <col min="15362" max="15362" width="11.28515625" style="1" customWidth="1"/>
    <col min="15363" max="15363" width="16.7109375" style="1" customWidth="1"/>
    <col min="15364" max="15365" width="6.85546875" style="1" customWidth="1"/>
    <col min="15366" max="15366" width="27.5703125" style="1" customWidth="1"/>
    <col min="15367" max="15367" width="35" style="1" customWidth="1"/>
    <col min="15368" max="15615" width="9.140625" style="1"/>
    <col min="15616" max="15616" width="5.85546875" style="1" customWidth="1"/>
    <col min="15617" max="15617" width="37.85546875" style="1" customWidth="1"/>
    <col min="15618" max="15618" width="11.28515625" style="1" customWidth="1"/>
    <col min="15619" max="15619" width="16.7109375" style="1" customWidth="1"/>
    <col min="15620" max="15621" width="6.85546875" style="1" customWidth="1"/>
    <col min="15622" max="15622" width="27.5703125" style="1" customWidth="1"/>
    <col min="15623" max="15623" width="35" style="1" customWidth="1"/>
    <col min="15624" max="15871" width="9.140625" style="1"/>
    <col min="15872" max="15872" width="5.85546875" style="1" customWidth="1"/>
    <col min="15873" max="15873" width="37.85546875" style="1" customWidth="1"/>
    <col min="15874" max="15874" width="11.28515625" style="1" customWidth="1"/>
    <col min="15875" max="15875" width="16.7109375" style="1" customWidth="1"/>
    <col min="15876" max="15877" width="6.85546875" style="1" customWidth="1"/>
    <col min="15878" max="15878" width="27.5703125" style="1" customWidth="1"/>
    <col min="15879" max="15879" width="35" style="1" customWidth="1"/>
    <col min="15880" max="16127" width="9.140625" style="1"/>
    <col min="16128" max="16128" width="5.85546875" style="1" customWidth="1"/>
    <col min="16129" max="16129" width="37.85546875" style="1" customWidth="1"/>
    <col min="16130" max="16130" width="11.28515625" style="1" customWidth="1"/>
    <col min="16131" max="16131" width="16.7109375" style="1" customWidth="1"/>
    <col min="16132" max="16133" width="6.85546875" style="1" customWidth="1"/>
    <col min="16134" max="16134" width="27.5703125" style="1" customWidth="1"/>
    <col min="16135" max="16135" width="35" style="1" customWidth="1"/>
    <col min="16136" max="16384" width="9.140625" style="1"/>
  </cols>
  <sheetData>
    <row r="1" spans="1:8" ht="18.75" x14ac:dyDescent="0.25">
      <c r="A1" s="400" t="s">
        <v>0</v>
      </c>
      <c r="B1" s="400"/>
      <c r="C1" s="400"/>
      <c r="D1" s="400"/>
      <c r="E1" s="400"/>
      <c r="F1" s="400"/>
      <c r="G1" s="400"/>
      <c r="H1" s="400"/>
    </row>
    <row r="2" spans="1:8" ht="30.75" customHeight="1" x14ac:dyDescent="0.3">
      <c r="A2" s="2"/>
      <c r="B2" s="2"/>
      <c r="C2" s="2"/>
      <c r="D2" s="2"/>
      <c r="E2" s="2"/>
      <c r="F2" s="2"/>
      <c r="G2" s="2"/>
      <c r="H2" s="3" t="s">
        <v>1</v>
      </c>
    </row>
    <row r="3" spans="1:8" ht="18.75" x14ac:dyDescent="0.3">
      <c r="A3" s="2"/>
      <c r="B3" s="2"/>
      <c r="C3" s="2"/>
      <c r="D3" s="2"/>
      <c r="E3" s="2"/>
      <c r="F3" s="2"/>
      <c r="G3" s="2"/>
      <c r="H3" s="3" t="s">
        <v>2</v>
      </c>
    </row>
    <row r="4" spans="1:8" ht="18.75" x14ac:dyDescent="0.3">
      <c r="A4" s="2"/>
      <c r="B4" s="2"/>
      <c r="C4" s="2"/>
      <c r="D4" s="2"/>
      <c r="E4" s="2"/>
      <c r="F4" s="2"/>
      <c r="G4" s="2"/>
      <c r="H4" s="3" t="s">
        <v>3</v>
      </c>
    </row>
    <row r="5" spans="1:8" ht="18.75" x14ac:dyDescent="0.3">
      <c r="A5" s="2"/>
      <c r="B5" s="2"/>
      <c r="C5" s="2"/>
      <c r="D5" s="2"/>
      <c r="E5" s="2"/>
      <c r="F5" s="2"/>
      <c r="G5" s="2"/>
      <c r="H5" s="3" t="s">
        <v>4</v>
      </c>
    </row>
    <row r="6" spans="1:8" ht="18.75" x14ac:dyDescent="0.3">
      <c r="A6" s="2"/>
      <c r="B6" s="2"/>
      <c r="C6" s="2"/>
      <c r="D6" s="2"/>
      <c r="E6" s="2"/>
      <c r="F6" s="2"/>
      <c r="G6" s="2"/>
      <c r="H6" s="3" t="s">
        <v>5</v>
      </c>
    </row>
    <row r="7" spans="1:8" ht="18.75" x14ac:dyDescent="0.3">
      <c r="A7" s="2"/>
      <c r="B7" s="2"/>
      <c r="C7" s="2"/>
      <c r="D7" s="2"/>
      <c r="E7" s="2"/>
      <c r="F7" s="2"/>
      <c r="G7" s="2"/>
      <c r="H7" s="3" t="s">
        <v>6</v>
      </c>
    </row>
    <row r="8" spans="1:8" ht="18.75" x14ac:dyDescent="0.3">
      <c r="A8" s="2"/>
      <c r="B8" s="2"/>
      <c r="C8" s="2"/>
      <c r="D8" s="2"/>
      <c r="E8" s="2"/>
      <c r="F8" s="2"/>
      <c r="G8" s="2"/>
      <c r="H8" s="3" t="s">
        <v>3</v>
      </c>
    </row>
    <row r="9" spans="1:8" ht="18.75" x14ac:dyDescent="0.25">
      <c r="A9" s="2"/>
      <c r="B9" s="2"/>
      <c r="C9" s="2"/>
      <c r="D9" s="2"/>
      <c r="E9" s="2"/>
      <c r="F9" s="2"/>
      <c r="G9" s="2"/>
      <c r="H9" s="4" t="s">
        <v>7</v>
      </c>
    </row>
    <row r="10" spans="1:8" ht="18.75" x14ac:dyDescent="0.3">
      <c r="A10" s="2"/>
      <c r="B10" s="2"/>
      <c r="C10" s="2"/>
      <c r="D10" s="2"/>
      <c r="E10" s="2"/>
      <c r="F10" s="2"/>
      <c r="G10" s="2"/>
      <c r="H10" s="3" t="s">
        <v>8</v>
      </c>
    </row>
    <row r="11" spans="1:8" ht="18.75" x14ac:dyDescent="0.3">
      <c r="A11" s="2"/>
      <c r="B11" s="2"/>
      <c r="C11" s="2"/>
      <c r="D11" s="2"/>
      <c r="E11" s="2"/>
      <c r="F11" s="2"/>
      <c r="G11" s="2"/>
      <c r="H11" s="3" t="s">
        <v>9</v>
      </c>
    </row>
    <row r="12" spans="1:8" ht="18.75" x14ac:dyDescent="0.25">
      <c r="A12" s="5" t="s">
        <v>10</v>
      </c>
      <c r="B12" s="2"/>
      <c r="C12" s="2"/>
      <c r="D12" s="2"/>
      <c r="E12" s="2"/>
      <c r="F12" s="2"/>
      <c r="G12" s="2"/>
      <c r="H12" s="4" t="s">
        <v>11</v>
      </c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401" t="s">
        <v>12</v>
      </c>
      <c r="B14" s="401"/>
      <c r="C14" s="401"/>
      <c r="D14" s="401"/>
      <c r="E14" s="401"/>
      <c r="F14" s="401"/>
      <c r="G14" s="401"/>
      <c r="H14" s="401"/>
    </row>
    <row r="15" spans="1:8" x14ac:dyDescent="0.25">
      <c r="A15" s="402" t="s">
        <v>13</v>
      </c>
      <c r="B15" s="402"/>
      <c r="C15" s="402"/>
      <c r="D15" s="402"/>
      <c r="E15" s="402"/>
      <c r="F15" s="402"/>
      <c r="G15" s="402"/>
      <c r="H15" s="402"/>
    </row>
    <row r="16" spans="1:8" ht="33.75" customHeight="1" x14ac:dyDescent="0.25">
      <c r="A16" s="403" t="s">
        <v>14</v>
      </c>
      <c r="B16" s="404"/>
      <c r="C16" s="404"/>
      <c r="D16" s="404"/>
      <c r="E16" s="404"/>
      <c r="F16" s="404"/>
      <c r="G16" s="404"/>
      <c r="H16" s="404"/>
    </row>
    <row r="17" spans="1:8" ht="7.5" customHeight="1" x14ac:dyDescent="0.25">
      <c r="A17" s="405" t="s">
        <v>15</v>
      </c>
      <c r="B17" s="405"/>
      <c r="C17" s="405"/>
      <c r="D17" s="405"/>
      <c r="E17" s="405"/>
      <c r="F17" s="405"/>
      <c r="G17" s="405"/>
      <c r="H17" s="405"/>
    </row>
    <row r="18" spans="1:8" ht="18.75" x14ac:dyDescent="0.25">
      <c r="A18" s="398" t="s">
        <v>16</v>
      </c>
      <c r="B18" s="399"/>
      <c r="C18" s="399"/>
      <c r="D18" s="399"/>
      <c r="E18" s="399"/>
      <c r="F18" s="399"/>
      <c r="G18" s="399"/>
      <c r="H18" s="399"/>
    </row>
    <row r="19" spans="1:8" ht="15.75" thickBot="1" x14ac:dyDescent="0.3">
      <c r="A19" s="406"/>
      <c r="B19" s="406"/>
      <c r="C19" s="406"/>
      <c r="D19" s="406"/>
      <c r="E19" s="406"/>
      <c r="F19" s="406"/>
      <c r="G19" s="406"/>
      <c r="H19" s="406"/>
    </row>
    <row r="20" spans="1:8" s="6" customFormat="1" ht="30" customHeight="1" x14ac:dyDescent="0.2">
      <c r="A20" s="407" t="s">
        <v>17</v>
      </c>
      <c r="B20" s="410" t="s">
        <v>18</v>
      </c>
      <c r="C20" s="410" t="s">
        <v>19</v>
      </c>
      <c r="D20" s="413" t="s">
        <v>20</v>
      </c>
      <c r="E20" s="414"/>
      <c r="F20" s="415"/>
      <c r="G20" s="416" t="s">
        <v>21</v>
      </c>
      <c r="H20" s="416" t="s">
        <v>22</v>
      </c>
    </row>
    <row r="21" spans="1:8" s="6" customFormat="1" ht="19.5" customHeight="1" x14ac:dyDescent="0.2">
      <c r="A21" s="408"/>
      <c r="B21" s="411"/>
      <c r="C21" s="411"/>
      <c r="D21" s="419" t="s">
        <v>23</v>
      </c>
      <c r="E21" s="421" t="s">
        <v>24</v>
      </c>
      <c r="F21" s="422"/>
      <c r="G21" s="417"/>
      <c r="H21" s="417"/>
    </row>
    <row r="22" spans="1:8" s="6" customFormat="1" ht="18.75" customHeight="1" thickBot="1" x14ac:dyDescent="0.25">
      <c r="A22" s="409"/>
      <c r="B22" s="412"/>
      <c r="C22" s="412"/>
      <c r="D22" s="420"/>
      <c r="E22" s="7" t="s">
        <v>25</v>
      </c>
      <c r="F22" s="7" t="s">
        <v>26</v>
      </c>
      <c r="G22" s="418"/>
      <c r="H22" s="418"/>
    </row>
    <row r="23" spans="1:8" ht="14.25" customHeight="1" thickBot="1" x14ac:dyDescent="0.3">
      <c r="A23" s="8">
        <v>1</v>
      </c>
      <c r="B23" s="9">
        <v>2</v>
      </c>
      <c r="C23" s="9">
        <v>3</v>
      </c>
      <c r="D23" s="9">
        <v>4</v>
      </c>
      <c r="E23" s="10">
        <v>5</v>
      </c>
      <c r="F23" s="10">
        <v>6</v>
      </c>
      <c r="G23" s="11">
        <v>7</v>
      </c>
      <c r="H23" s="12">
        <v>8</v>
      </c>
    </row>
    <row r="24" spans="1:8" ht="32.25" customHeight="1" thickBot="1" x14ac:dyDescent="0.3">
      <c r="A24" s="423" t="s">
        <v>27</v>
      </c>
      <c r="B24" s="424"/>
      <c r="C24" s="424"/>
      <c r="D24" s="424"/>
      <c r="E24" s="424"/>
      <c r="F24" s="424"/>
      <c r="G24" s="424"/>
      <c r="H24" s="425"/>
    </row>
    <row r="25" spans="1:8" ht="153" customHeight="1" x14ac:dyDescent="0.25">
      <c r="A25" s="13" t="s">
        <v>28</v>
      </c>
      <c r="B25" s="14" t="s">
        <v>29</v>
      </c>
      <c r="C25" s="15" t="s">
        <v>30</v>
      </c>
      <c r="D25" s="16">
        <v>98.1</v>
      </c>
      <c r="E25" s="17">
        <v>106.1</v>
      </c>
      <c r="F25" s="18">
        <v>113</v>
      </c>
      <c r="G25" s="390" t="s">
        <v>410</v>
      </c>
      <c r="H25" s="19" t="s">
        <v>443</v>
      </c>
    </row>
    <row r="26" spans="1:8" ht="140.25" x14ac:dyDescent="0.25">
      <c r="A26" s="20" t="s">
        <v>32</v>
      </c>
      <c r="B26" s="21" t="s">
        <v>33</v>
      </c>
      <c r="C26" s="22" t="s">
        <v>30</v>
      </c>
      <c r="D26" s="23">
        <v>98.9</v>
      </c>
      <c r="E26" s="384">
        <v>104.5</v>
      </c>
      <c r="F26" s="24">
        <v>119.7</v>
      </c>
      <c r="G26" s="25" t="s">
        <v>436</v>
      </c>
      <c r="H26" s="382" t="s">
        <v>444</v>
      </c>
    </row>
    <row r="27" spans="1:8" ht="140.25" x14ac:dyDescent="0.25">
      <c r="A27" s="20" t="s">
        <v>34</v>
      </c>
      <c r="B27" s="26" t="s">
        <v>35</v>
      </c>
      <c r="C27" s="27" t="s">
        <v>30</v>
      </c>
      <c r="D27" s="28">
        <v>97</v>
      </c>
      <c r="E27" s="384">
        <v>109.1</v>
      </c>
      <c r="F27" s="24">
        <v>101.7</v>
      </c>
      <c r="G27" s="25" t="s">
        <v>413</v>
      </c>
      <c r="H27" s="29" t="s">
        <v>36</v>
      </c>
    </row>
    <row r="28" spans="1:8" ht="153" x14ac:dyDescent="0.25">
      <c r="A28" s="30" t="s">
        <v>37</v>
      </c>
      <c r="B28" s="26" t="s">
        <v>38</v>
      </c>
      <c r="C28" s="27" t="s">
        <v>30</v>
      </c>
      <c r="D28" s="384">
        <v>100.5</v>
      </c>
      <c r="E28" s="384">
        <v>106.3</v>
      </c>
      <c r="F28" s="24">
        <v>100.3</v>
      </c>
      <c r="G28" s="25" t="s">
        <v>437</v>
      </c>
      <c r="H28" s="29" t="s">
        <v>438</v>
      </c>
    </row>
    <row r="29" spans="1:8" ht="178.5" x14ac:dyDescent="0.25">
      <c r="A29" s="20" t="s">
        <v>39</v>
      </c>
      <c r="B29" s="21" t="s">
        <v>40</v>
      </c>
      <c r="C29" s="22" t="s">
        <v>41</v>
      </c>
      <c r="D29" s="23">
        <v>12.93</v>
      </c>
      <c r="E29" s="384">
        <v>12</v>
      </c>
      <c r="F29" s="24">
        <v>12.2</v>
      </c>
      <c r="G29" s="389" t="s">
        <v>42</v>
      </c>
      <c r="H29" s="382" t="s">
        <v>407</v>
      </c>
    </row>
    <row r="30" spans="1:8" ht="74.25" customHeight="1" x14ac:dyDescent="0.25">
      <c r="A30" s="20" t="s">
        <v>43</v>
      </c>
      <c r="B30" s="21" t="s">
        <v>44</v>
      </c>
      <c r="C30" s="22" t="s">
        <v>41</v>
      </c>
      <c r="D30" s="23">
        <v>73.099999999999994</v>
      </c>
      <c r="E30" s="384">
        <v>75</v>
      </c>
      <c r="F30" s="24">
        <v>81.95</v>
      </c>
      <c r="G30" s="27" t="s">
        <v>411</v>
      </c>
      <c r="H30" s="29" t="s">
        <v>445</v>
      </c>
    </row>
    <row r="31" spans="1:8" ht="140.25" x14ac:dyDescent="0.25">
      <c r="A31" s="20" t="s">
        <v>45</v>
      </c>
      <c r="B31" s="21" t="s">
        <v>46</v>
      </c>
      <c r="C31" s="22" t="s">
        <v>47</v>
      </c>
      <c r="D31" s="23">
        <v>13809.8</v>
      </c>
      <c r="E31" s="384">
        <v>15620</v>
      </c>
      <c r="F31" s="388">
        <v>16679.599999999999</v>
      </c>
      <c r="G31" s="27" t="s">
        <v>412</v>
      </c>
      <c r="H31" s="382" t="s">
        <v>468</v>
      </c>
    </row>
    <row r="32" spans="1:8" ht="153" x14ac:dyDescent="0.25">
      <c r="A32" s="20" t="s">
        <v>48</v>
      </c>
      <c r="B32" s="21" t="s">
        <v>49</v>
      </c>
      <c r="C32" s="22" t="s">
        <v>50</v>
      </c>
      <c r="D32" s="23">
        <v>46</v>
      </c>
      <c r="E32" s="384">
        <v>260</v>
      </c>
      <c r="F32" s="24">
        <v>260</v>
      </c>
      <c r="G32" s="27" t="s">
        <v>447</v>
      </c>
      <c r="H32" s="382"/>
    </row>
    <row r="33" spans="1:9" ht="76.5" x14ac:dyDescent="0.25">
      <c r="A33" s="20" t="s">
        <v>51</v>
      </c>
      <c r="B33" s="21" t="s">
        <v>52</v>
      </c>
      <c r="C33" s="22" t="s">
        <v>50</v>
      </c>
      <c r="D33" s="23">
        <v>2</v>
      </c>
      <c r="E33" s="384">
        <v>2</v>
      </c>
      <c r="F33" s="24">
        <v>2</v>
      </c>
      <c r="G33" s="27" t="s">
        <v>446</v>
      </c>
      <c r="H33" s="382"/>
    </row>
    <row r="34" spans="1:9" ht="102.75" thickBot="1" x14ac:dyDescent="0.3">
      <c r="A34" s="31" t="s">
        <v>53</v>
      </c>
      <c r="B34" s="32" t="s">
        <v>403</v>
      </c>
      <c r="C34" s="33" t="s">
        <v>54</v>
      </c>
      <c r="D34" s="34">
        <v>3132.22</v>
      </c>
      <c r="E34" s="385">
        <v>3359.3</v>
      </c>
      <c r="F34" s="35">
        <f>357.837+2250.09</f>
        <v>2607.9270000000001</v>
      </c>
      <c r="G34" s="277" t="s">
        <v>55</v>
      </c>
      <c r="H34" s="36" t="s">
        <v>408</v>
      </c>
    </row>
    <row r="35" spans="1:9" ht="15" customHeight="1" thickBot="1" x14ac:dyDescent="0.3">
      <c r="A35" s="391"/>
      <c r="B35" s="392" t="s">
        <v>56</v>
      </c>
      <c r="C35" s="393"/>
      <c r="D35" s="383"/>
      <c r="E35" s="394"/>
      <c r="F35" s="395"/>
      <c r="G35" s="396"/>
      <c r="H35" s="397"/>
    </row>
    <row r="36" spans="1:9" ht="40.5" customHeight="1" thickBot="1" x14ac:dyDescent="0.3">
      <c r="A36" s="426" t="s">
        <v>57</v>
      </c>
      <c r="B36" s="427"/>
      <c r="C36" s="427"/>
      <c r="D36" s="427"/>
      <c r="E36" s="427"/>
      <c r="F36" s="427"/>
      <c r="G36" s="427"/>
      <c r="H36" s="428"/>
    </row>
    <row r="37" spans="1:9" ht="60" x14ac:dyDescent="0.25">
      <c r="A37" s="74" t="s">
        <v>28</v>
      </c>
      <c r="B37" s="75" t="s">
        <v>58</v>
      </c>
      <c r="C37" s="279" t="s">
        <v>59</v>
      </c>
      <c r="D37" s="17">
        <v>424</v>
      </c>
      <c r="E37" s="17">
        <v>350</v>
      </c>
      <c r="F37" s="62">
        <v>410</v>
      </c>
      <c r="G37" s="279" t="s">
        <v>448</v>
      </c>
      <c r="H37" s="46"/>
    </row>
    <row r="38" spans="1:9" ht="56.25" customHeight="1" x14ac:dyDescent="0.25">
      <c r="A38" s="47" t="s">
        <v>32</v>
      </c>
      <c r="B38" s="48" t="s">
        <v>60</v>
      </c>
      <c r="C38" s="22" t="s">
        <v>59</v>
      </c>
      <c r="D38" s="23" t="s">
        <v>61</v>
      </c>
      <c r="E38" s="384">
        <v>1</v>
      </c>
      <c r="F38" s="24">
        <v>0</v>
      </c>
      <c r="G38" s="27"/>
      <c r="H38" s="429" t="s">
        <v>62</v>
      </c>
      <c r="I38" s="49"/>
    </row>
    <row r="39" spans="1:9" ht="39" customHeight="1" thickBot="1" x14ac:dyDescent="0.3">
      <c r="A39" s="51" t="s">
        <v>34</v>
      </c>
      <c r="B39" s="52" t="s">
        <v>63</v>
      </c>
      <c r="C39" s="33" t="s">
        <v>50</v>
      </c>
      <c r="D39" s="34" t="s">
        <v>61</v>
      </c>
      <c r="E39" s="385">
        <v>155</v>
      </c>
      <c r="F39" s="35">
        <v>0</v>
      </c>
      <c r="G39" s="277"/>
      <c r="H39" s="430"/>
    </row>
    <row r="40" spans="1:9" ht="24.75" customHeight="1" thickBot="1" x14ac:dyDescent="0.3">
      <c r="A40" s="431" t="s">
        <v>64</v>
      </c>
      <c r="B40" s="432"/>
      <c r="C40" s="432"/>
      <c r="D40" s="432"/>
      <c r="E40" s="432"/>
      <c r="F40" s="432"/>
      <c r="G40" s="432"/>
      <c r="H40" s="433"/>
    </row>
    <row r="41" spans="1:9" ht="81" customHeight="1" x14ac:dyDescent="0.25">
      <c r="A41" s="43" t="s">
        <v>37</v>
      </c>
      <c r="B41" s="44" t="s">
        <v>65</v>
      </c>
      <c r="C41" s="37" t="s">
        <v>66</v>
      </c>
      <c r="D41" s="38">
        <v>6.53</v>
      </c>
      <c r="E41" s="39">
        <v>10.4</v>
      </c>
      <c r="F41" s="40">
        <v>7.27</v>
      </c>
      <c r="G41" s="37" t="s">
        <v>450</v>
      </c>
      <c r="H41" s="434" t="s">
        <v>449</v>
      </c>
    </row>
    <row r="42" spans="1:9" ht="50.25" customHeight="1" thickBot="1" x14ac:dyDescent="0.3">
      <c r="A42" s="51" t="s">
        <v>39</v>
      </c>
      <c r="B42" s="52" t="s">
        <v>67</v>
      </c>
      <c r="C42" s="33" t="s">
        <v>41</v>
      </c>
      <c r="D42" s="34">
        <v>24.9</v>
      </c>
      <c r="E42" s="264">
        <v>20</v>
      </c>
      <c r="F42" s="35">
        <v>32.5</v>
      </c>
      <c r="G42" s="33" t="s">
        <v>458</v>
      </c>
      <c r="H42" s="435"/>
    </row>
    <row r="43" spans="1:9" ht="22.5" customHeight="1" thickBot="1" x14ac:dyDescent="0.3">
      <c r="A43" s="426" t="s">
        <v>68</v>
      </c>
      <c r="B43" s="427"/>
      <c r="C43" s="427"/>
      <c r="D43" s="427"/>
      <c r="E43" s="427"/>
      <c r="F43" s="427"/>
      <c r="G43" s="427"/>
      <c r="H43" s="428"/>
    </row>
    <row r="44" spans="1:9" ht="51.75" thickBot="1" x14ac:dyDescent="0.3">
      <c r="A44" s="53" t="s">
        <v>43</v>
      </c>
      <c r="B44" s="54" t="s">
        <v>69</v>
      </c>
      <c r="C44" s="55" t="s">
        <v>41</v>
      </c>
      <c r="D44" s="129">
        <v>55.7</v>
      </c>
      <c r="E44" s="56">
        <v>60.9</v>
      </c>
      <c r="F44" s="57">
        <v>61.8</v>
      </c>
      <c r="G44" s="58" t="s">
        <v>70</v>
      </c>
      <c r="H44" s="36" t="s">
        <v>407</v>
      </c>
    </row>
    <row r="45" spans="1:9" ht="30.75" customHeight="1" thickBot="1" x14ac:dyDescent="0.3">
      <c r="A45" s="426" t="s">
        <v>71</v>
      </c>
      <c r="B45" s="427"/>
      <c r="C45" s="427"/>
      <c r="D45" s="427"/>
      <c r="E45" s="427"/>
      <c r="F45" s="427"/>
      <c r="G45" s="427"/>
      <c r="H45" s="428"/>
    </row>
    <row r="46" spans="1:9" ht="111" customHeight="1" x14ac:dyDescent="0.25">
      <c r="A46" s="59" t="s">
        <v>45</v>
      </c>
      <c r="B46" s="60" t="s">
        <v>72</v>
      </c>
      <c r="C46" s="15" t="s">
        <v>73</v>
      </c>
      <c r="D46" s="61" t="s">
        <v>61</v>
      </c>
      <c r="E46" s="62">
        <v>0.2</v>
      </c>
      <c r="F46" s="62">
        <v>0</v>
      </c>
      <c r="G46" s="15" t="s">
        <v>451</v>
      </c>
      <c r="H46" s="63" t="s">
        <v>409</v>
      </c>
    </row>
    <row r="47" spans="1:9" ht="36" customHeight="1" x14ac:dyDescent="0.25">
      <c r="A47" s="64" t="s">
        <v>48</v>
      </c>
      <c r="B47" s="65" t="s">
        <v>74</v>
      </c>
      <c r="C47" s="22" t="s">
        <v>73</v>
      </c>
      <c r="D47" s="66" t="s">
        <v>61</v>
      </c>
      <c r="E47" s="24">
        <v>0</v>
      </c>
      <c r="F47" s="24">
        <v>0</v>
      </c>
      <c r="G47" s="67"/>
      <c r="H47" s="68"/>
    </row>
    <row r="48" spans="1:9" ht="58.5" customHeight="1" x14ac:dyDescent="0.25">
      <c r="A48" s="64" t="s">
        <v>51</v>
      </c>
      <c r="B48" s="65" t="s">
        <v>75</v>
      </c>
      <c r="C48" s="69" t="s">
        <v>50</v>
      </c>
      <c r="D48" s="66" t="s">
        <v>61</v>
      </c>
      <c r="E48" s="24" t="s">
        <v>61</v>
      </c>
      <c r="F48" s="24" t="s">
        <v>61</v>
      </c>
      <c r="G48" s="70"/>
      <c r="H48" s="68"/>
    </row>
    <row r="49" spans="1:8" ht="52.5" customHeight="1" x14ac:dyDescent="0.25">
      <c r="A49" s="64" t="s">
        <v>53</v>
      </c>
      <c r="B49" s="65" t="s">
        <v>76</v>
      </c>
      <c r="C49" s="69" t="s">
        <v>50</v>
      </c>
      <c r="D49" s="66" t="s">
        <v>61</v>
      </c>
      <c r="E49" s="24" t="s">
        <v>61</v>
      </c>
      <c r="F49" s="24" t="s">
        <v>61</v>
      </c>
      <c r="G49" s="70"/>
      <c r="H49" s="68"/>
    </row>
    <row r="50" spans="1:8" ht="54" customHeight="1" thickBot="1" x14ac:dyDescent="0.3">
      <c r="A50" s="51" t="s">
        <v>77</v>
      </c>
      <c r="B50" s="54" t="s">
        <v>78</v>
      </c>
      <c r="C50" s="55" t="s">
        <v>73</v>
      </c>
      <c r="D50" s="71" t="s">
        <v>61</v>
      </c>
      <c r="E50" s="72">
        <v>0.8</v>
      </c>
      <c r="F50" s="35">
        <v>0.85</v>
      </c>
      <c r="G50" s="33" t="s">
        <v>451</v>
      </c>
      <c r="H50" s="73"/>
    </row>
    <row r="51" spans="1:8" ht="39" customHeight="1" thickBot="1" x14ac:dyDescent="0.3">
      <c r="A51" s="431" t="s">
        <v>79</v>
      </c>
      <c r="B51" s="432"/>
      <c r="C51" s="432"/>
      <c r="D51" s="432"/>
      <c r="E51" s="432"/>
      <c r="F51" s="432"/>
      <c r="G51" s="432"/>
      <c r="H51" s="433"/>
    </row>
    <row r="52" spans="1:8" ht="18.75" customHeight="1" thickBot="1" x14ac:dyDescent="0.3">
      <c r="A52" s="436" t="s">
        <v>80</v>
      </c>
      <c r="B52" s="437"/>
      <c r="C52" s="437"/>
      <c r="D52" s="437"/>
      <c r="E52" s="437"/>
      <c r="F52" s="437"/>
      <c r="G52" s="437"/>
      <c r="H52" s="438"/>
    </row>
    <row r="53" spans="1:8" ht="25.5" x14ac:dyDescent="0.25">
      <c r="A53" s="74" t="s">
        <v>81</v>
      </c>
      <c r="B53" s="75" t="s">
        <v>82</v>
      </c>
      <c r="C53" s="15" t="s">
        <v>83</v>
      </c>
      <c r="D53" s="61">
        <v>229.3</v>
      </c>
      <c r="E53" s="17">
        <v>300.60000000000002</v>
      </c>
      <c r="F53" s="62">
        <v>307.3</v>
      </c>
      <c r="G53" s="15" t="s">
        <v>31</v>
      </c>
      <c r="H53" s="19"/>
    </row>
    <row r="54" spans="1:8" ht="25.5" x14ac:dyDescent="0.25">
      <c r="A54" s="47" t="s">
        <v>84</v>
      </c>
      <c r="B54" s="48" t="s">
        <v>85</v>
      </c>
      <c r="C54" s="22" t="s">
        <v>83</v>
      </c>
      <c r="D54" s="66">
        <v>365.4</v>
      </c>
      <c r="E54" s="24">
        <v>376.2</v>
      </c>
      <c r="F54" s="24">
        <v>421.5</v>
      </c>
      <c r="G54" s="22" t="s">
        <v>31</v>
      </c>
      <c r="H54" s="76"/>
    </row>
    <row r="55" spans="1:8" ht="30" x14ac:dyDescent="0.25">
      <c r="A55" s="47">
        <v>14</v>
      </c>
      <c r="B55" s="77" t="s">
        <v>86</v>
      </c>
      <c r="C55" s="22" t="s">
        <v>83</v>
      </c>
      <c r="D55" s="66">
        <v>184.8</v>
      </c>
      <c r="E55" s="24">
        <v>177</v>
      </c>
      <c r="F55" s="24">
        <v>193.2</v>
      </c>
      <c r="G55" s="22" t="s">
        <v>31</v>
      </c>
      <c r="H55" s="76"/>
    </row>
    <row r="56" spans="1:8" ht="26.25" thickBot="1" x14ac:dyDescent="0.3">
      <c r="A56" s="51">
        <v>15</v>
      </c>
      <c r="B56" s="52" t="s">
        <v>87</v>
      </c>
      <c r="C56" s="33" t="s">
        <v>83</v>
      </c>
      <c r="D56" s="78">
        <v>150.19999999999999</v>
      </c>
      <c r="E56" s="264">
        <v>206.46</v>
      </c>
      <c r="F56" s="35">
        <v>272.2</v>
      </c>
      <c r="G56" s="33" t="s">
        <v>31</v>
      </c>
      <c r="H56" s="79"/>
    </row>
    <row r="57" spans="1:8" ht="23.25" customHeight="1" thickBot="1" x14ac:dyDescent="0.3">
      <c r="A57" s="439" t="s">
        <v>88</v>
      </c>
      <c r="B57" s="440"/>
      <c r="C57" s="440"/>
      <c r="D57" s="440"/>
      <c r="E57" s="440"/>
      <c r="F57" s="440"/>
      <c r="G57" s="440"/>
      <c r="H57" s="441"/>
    </row>
    <row r="58" spans="1:8" ht="15.75" customHeight="1" x14ac:dyDescent="0.25">
      <c r="A58" s="43" t="s">
        <v>89</v>
      </c>
      <c r="B58" s="44" t="s">
        <v>90</v>
      </c>
      <c r="C58" s="80" t="s">
        <v>83</v>
      </c>
      <c r="D58" s="81" t="s">
        <v>61</v>
      </c>
      <c r="E58" s="39" t="s">
        <v>61</v>
      </c>
      <c r="F58" s="40" t="s">
        <v>61</v>
      </c>
      <c r="G58" s="67"/>
      <c r="H58" s="82"/>
    </row>
    <row r="59" spans="1:8" ht="42" customHeight="1" x14ac:dyDescent="0.25">
      <c r="A59" s="47" t="s">
        <v>91</v>
      </c>
      <c r="B59" s="21" t="s">
        <v>92</v>
      </c>
      <c r="C59" s="83" t="s">
        <v>83</v>
      </c>
      <c r="D59" s="66">
        <v>11.2</v>
      </c>
      <c r="E59" s="259">
        <v>11.3</v>
      </c>
      <c r="F59" s="24">
        <v>4.7</v>
      </c>
      <c r="G59" s="22" t="s">
        <v>31</v>
      </c>
      <c r="H59" s="84" t="s">
        <v>93</v>
      </c>
    </row>
    <row r="60" spans="1:8" ht="30" x14ac:dyDescent="0.25">
      <c r="A60" s="47" t="s">
        <v>94</v>
      </c>
      <c r="B60" s="48" t="s">
        <v>95</v>
      </c>
      <c r="C60" s="85" t="s">
        <v>83</v>
      </c>
      <c r="D60" s="24">
        <v>1.9</v>
      </c>
      <c r="E60" s="259">
        <v>2.2570000000000001</v>
      </c>
      <c r="F60" s="24">
        <v>2.2599999999999998</v>
      </c>
      <c r="G60" s="22" t="s">
        <v>452</v>
      </c>
      <c r="H60" s="86"/>
    </row>
    <row r="61" spans="1:8" ht="44.25" customHeight="1" x14ac:dyDescent="0.25">
      <c r="A61" s="47"/>
      <c r="B61" s="48" t="s">
        <v>96</v>
      </c>
      <c r="C61" s="83"/>
      <c r="D61" s="66"/>
      <c r="E61" s="87"/>
      <c r="F61" s="24"/>
      <c r="G61" s="22"/>
      <c r="H61" s="442" t="s">
        <v>407</v>
      </c>
    </row>
    <row r="62" spans="1:8" ht="25.5" x14ac:dyDescent="0.25">
      <c r="A62" s="47" t="s">
        <v>97</v>
      </c>
      <c r="B62" s="48" t="s">
        <v>85</v>
      </c>
      <c r="C62" s="83" t="s">
        <v>41</v>
      </c>
      <c r="D62" s="66">
        <v>100</v>
      </c>
      <c r="E62" s="24">
        <v>100</v>
      </c>
      <c r="F62" s="24">
        <v>100</v>
      </c>
      <c r="G62" s="22" t="s">
        <v>31</v>
      </c>
      <c r="H62" s="443"/>
    </row>
    <row r="63" spans="1:8" ht="25.5" x14ac:dyDescent="0.25">
      <c r="A63" s="47" t="s">
        <v>98</v>
      </c>
      <c r="B63" s="48" t="s">
        <v>99</v>
      </c>
      <c r="C63" s="83" t="s">
        <v>41</v>
      </c>
      <c r="D63" s="66">
        <v>83.2</v>
      </c>
      <c r="E63" s="24">
        <v>76.5</v>
      </c>
      <c r="F63" s="24">
        <v>85</v>
      </c>
      <c r="G63" s="22" t="s">
        <v>31</v>
      </c>
      <c r="H63" s="443"/>
    </row>
    <row r="64" spans="1:8" ht="25.5" x14ac:dyDescent="0.25">
      <c r="A64" s="47" t="s">
        <v>100</v>
      </c>
      <c r="B64" s="48" t="s">
        <v>101</v>
      </c>
      <c r="C64" s="83" t="s">
        <v>41</v>
      </c>
      <c r="D64" s="66">
        <v>93.8</v>
      </c>
      <c r="E64" s="24">
        <v>100</v>
      </c>
      <c r="F64" s="24">
        <v>100</v>
      </c>
      <c r="G64" s="22" t="s">
        <v>31</v>
      </c>
      <c r="H64" s="443"/>
    </row>
    <row r="65" spans="1:8" ht="26.25" thickBot="1" x14ac:dyDescent="0.3">
      <c r="A65" s="51" t="s">
        <v>102</v>
      </c>
      <c r="B65" s="52" t="s">
        <v>103</v>
      </c>
      <c r="C65" s="88" t="s">
        <v>41</v>
      </c>
      <c r="D65" s="78">
        <v>41.5</v>
      </c>
      <c r="E65" s="35">
        <v>44.9</v>
      </c>
      <c r="F65" s="35">
        <v>44.9</v>
      </c>
      <c r="G65" s="22" t="s">
        <v>31</v>
      </c>
      <c r="H65" s="444"/>
    </row>
    <row r="66" spans="1:8" ht="47.25" customHeight="1" thickBot="1" x14ac:dyDescent="0.3">
      <c r="A66" s="423" t="s">
        <v>104</v>
      </c>
      <c r="B66" s="424"/>
      <c r="C66" s="424"/>
      <c r="D66" s="424"/>
      <c r="E66" s="424"/>
      <c r="F66" s="424"/>
      <c r="G66" s="424"/>
      <c r="H66" s="425"/>
    </row>
    <row r="67" spans="1:8" ht="137.25" customHeight="1" x14ac:dyDescent="0.25">
      <c r="A67" s="74" t="s">
        <v>105</v>
      </c>
      <c r="B67" s="75" t="s">
        <v>106</v>
      </c>
      <c r="C67" s="15" t="s">
        <v>107</v>
      </c>
      <c r="D67" s="62">
        <v>1815</v>
      </c>
      <c r="E67" s="17">
        <v>900</v>
      </c>
      <c r="F67" s="62">
        <v>918</v>
      </c>
      <c r="G67" s="279" t="s">
        <v>469</v>
      </c>
      <c r="H67" s="63" t="s">
        <v>108</v>
      </c>
    </row>
    <row r="68" spans="1:8" ht="132" customHeight="1" thickBot="1" x14ac:dyDescent="0.3">
      <c r="A68" s="51" t="s">
        <v>109</v>
      </c>
      <c r="B68" s="34" t="s">
        <v>110</v>
      </c>
      <c r="C68" s="33" t="s">
        <v>111</v>
      </c>
      <c r="D68" s="35">
        <v>53.8</v>
      </c>
      <c r="E68" s="35">
        <v>60</v>
      </c>
      <c r="F68" s="35">
        <v>56</v>
      </c>
      <c r="G68" s="277" t="s">
        <v>31</v>
      </c>
      <c r="H68" s="89" t="s">
        <v>112</v>
      </c>
    </row>
    <row r="69" spans="1:8" ht="53.25" customHeight="1" x14ac:dyDescent="0.25">
      <c r="A69" s="43" t="s">
        <v>113</v>
      </c>
      <c r="B69" s="44" t="s">
        <v>114</v>
      </c>
      <c r="C69" s="37" t="s">
        <v>111</v>
      </c>
      <c r="D69" s="81" t="s">
        <v>61</v>
      </c>
      <c r="E69" s="40">
        <v>0.8</v>
      </c>
      <c r="F69" s="40">
        <v>0.8</v>
      </c>
      <c r="G69" s="41" t="s">
        <v>31</v>
      </c>
      <c r="H69" s="90"/>
    </row>
    <row r="70" spans="1:8" ht="37.5" customHeight="1" x14ac:dyDescent="0.25">
      <c r="A70" s="47" t="s">
        <v>115</v>
      </c>
      <c r="B70" s="48" t="s">
        <v>116</v>
      </c>
      <c r="C70" s="22" t="s">
        <v>111</v>
      </c>
      <c r="D70" s="66">
        <v>120.2</v>
      </c>
      <c r="E70" s="24">
        <v>113.2</v>
      </c>
      <c r="F70" s="24">
        <v>119.1</v>
      </c>
      <c r="G70" s="42" t="s">
        <v>31</v>
      </c>
      <c r="H70" s="91"/>
    </row>
    <row r="71" spans="1:8" ht="38.25" x14ac:dyDescent="0.25">
      <c r="A71" s="47" t="s">
        <v>117</v>
      </c>
      <c r="B71" s="48" t="s">
        <v>118</v>
      </c>
      <c r="C71" s="22" t="s">
        <v>119</v>
      </c>
      <c r="D71" s="66">
        <v>281.7</v>
      </c>
      <c r="E71" s="24">
        <v>343</v>
      </c>
      <c r="F71" s="24">
        <v>302.39999999999998</v>
      </c>
      <c r="G71" s="42" t="s">
        <v>31</v>
      </c>
      <c r="H71" s="29" t="s">
        <v>120</v>
      </c>
    </row>
    <row r="72" spans="1:8" ht="63.75" x14ac:dyDescent="0.25">
      <c r="A72" s="47"/>
      <c r="B72" s="48" t="s">
        <v>96</v>
      </c>
      <c r="C72" s="22"/>
      <c r="D72" s="66"/>
      <c r="E72" s="87"/>
      <c r="F72" s="24"/>
      <c r="G72" s="42" t="s">
        <v>121</v>
      </c>
      <c r="H72" s="429" t="s">
        <v>453</v>
      </c>
    </row>
    <row r="73" spans="1:8" ht="25.5" x14ac:dyDescent="0.25">
      <c r="A73" s="47" t="s">
        <v>122</v>
      </c>
      <c r="B73" s="48" t="s">
        <v>123</v>
      </c>
      <c r="C73" s="22" t="s">
        <v>41</v>
      </c>
      <c r="D73" s="66">
        <v>40.5</v>
      </c>
      <c r="E73" s="24">
        <v>37.700000000000003</v>
      </c>
      <c r="F73" s="24">
        <v>40.5</v>
      </c>
      <c r="G73" s="42" t="s">
        <v>31</v>
      </c>
      <c r="H73" s="445"/>
    </row>
    <row r="74" spans="1:8" ht="25.5" x14ac:dyDescent="0.25">
      <c r="A74" s="47" t="s">
        <v>124</v>
      </c>
      <c r="B74" s="48" t="s">
        <v>125</v>
      </c>
      <c r="C74" s="22" t="s">
        <v>41</v>
      </c>
      <c r="D74" s="66">
        <v>36.4</v>
      </c>
      <c r="E74" s="24">
        <v>44</v>
      </c>
      <c r="F74" s="24">
        <v>38</v>
      </c>
      <c r="G74" s="42" t="s">
        <v>31</v>
      </c>
      <c r="H74" s="445"/>
    </row>
    <row r="75" spans="1:8" ht="25.5" x14ac:dyDescent="0.25">
      <c r="A75" s="47" t="s">
        <v>126</v>
      </c>
      <c r="B75" s="48" t="s">
        <v>127</v>
      </c>
      <c r="C75" s="22" t="s">
        <v>41</v>
      </c>
      <c r="D75" s="66">
        <v>62.1</v>
      </c>
      <c r="E75" s="24">
        <v>77.2</v>
      </c>
      <c r="F75" s="24">
        <v>65</v>
      </c>
      <c r="G75" s="42" t="s">
        <v>31</v>
      </c>
      <c r="H75" s="445"/>
    </row>
    <row r="76" spans="1:8" ht="52.5" customHeight="1" x14ac:dyDescent="0.25">
      <c r="A76" s="47" t="s">
        <v>128</v>
      </c>
      <c r="B76" s="48" t="s">
        <v>129</v>
      </c>
      <c r="C76" s="22" t="s">
        <v>130</v>
      </c>
      <c r="D76" s="24">
        <v>178</v>
      </c>
      <c r="E76" s="259">
        <v>160</v>
      </c>
      <c r="F76" s="24">
        <v>184</v>
      </c>
      <c r="G76" s="22" t="s">
        <v>454</v>
      </c>
      <c r="H76" s="29" t="s">
        <v>456</v>
      </c>
    </row>
    <row r="77" spans="1:8" ht="74.25" customHeight="1" thickBot="1" x14ac:dyDescent="0.3">
      <c r="A77" s="51" t="s">
        <v>131</v>
      </c>
      <c r="B77" s="92" t="s">
        <v>132</v>
      </c>
      <c r="C77" s="33" t="s">
        <v>41</v>
      </c>
      <c r="D77" s="78" t="s">
        <v>61</v>
      </c>
      <c r="E77" s="264" t="s">
        <v>61</v>
      </c>
      <c r="F77" s="35" t="s">
        <v>61</v>
      </c>
      <c r="G77" s="22"/>
      <c r="H77" s="36" t="s">
        <v>455</v>
      </c>
    </row>
    <row r="78" spans="1:8" ht="34.5" customHeight="1" thickBot="1" x14ac:dyDescent="0.3">
      <c r="A78" s="423" t="s">
        <v>133</v>
      </c>
      <c r="B78" s="424"/>
      <c r="C78" s="424"/>
      <c r="D78" s="424"/>
      <c r="E78" s="424"/>
      <c r="F78" s="424"/>
      <c r="G78" s="424"/>
      <c r="H78" s="425"/>
    </row>
    <row r="79" spans="1:8" ht="84" customHeight="1" x14ac:dyDescent="0.25">
      <c r="A79" s="74" t="s">
        <v>134</v>
      </c>
      <c r="B79" s="75" t="s">
        <v>135</v>
      </c>
      <c r="C79" s="15" t="s">
        <v>50</v>
      </c>
      <c r="D79" s="61">
        <v>25</v>
      </c>
      <c r="E79" s="17">
        <v>16</v>
      </c>
      <c r="F79" s="62">
        <v>36</v>
      </c>
      <c r="G79" s="359" t="s">
        <v>442</v>
      </c>
      <c r="H79" s="19" t="s">
        <v>457</v>
      </c>
    </row>
    <row r="80" spans="1:8" ht="69" customHeight="1" thickBot="1" x14ac:dyDescent="0.3">
      <c r="A80" s="51" t="s">
        <v>136</v>
      </c>
      <c r="B80" s="52" t="s">
        <v>137</v>
      </c>
      <c r="C80" s="33" t="s">
        <v>50</v>
      </c>
      <c r="D80" s="78">
        <v>5</v>
      </c>
      <c r="E80" s="264">
        <v>5</v>
      </c>
      <c r="F80" s="35">
        <v>8</v>
      </c>
      <c r="G80" s="33" t="s">
        <v>441</v>
      </c>
      <c r="H80" s="36" t="s">
        <v>457</v>
      </c>
    </row>
    <row r="81" spans="1:8" ht="54.75" customHeight="1" thickBot="1" x14ac:dyDescent="0.3">
      <c r="A81" s="431" t="s">
        <v>138</v>
      </c>
      <c r="B81" s="432"/>
      <c r="C81" s="432"/>
      <c r="D81" s="432"/>
      <c r="E81" s="432"/>
      <c r="F81" s="432"/>
      <c r="G81" s="432"/>
      <c r="H81" s="433"/>
    </row>
    <row r="82" spans="1:8" ht="278.25" customHeight="1" thickBot="1" x14ac:dyDescent="0.3">
      <c r="A82" s="387" t="s">
        <v>139</v>
      </c>
      <c r="B82" s="386" t="s">
        <v>140</v>
      </c>
      <c r="C82" s="55" t="s">
        <v>59</v>
      </c>
      <c r="D82" s="129">
        <v>18088</v>
      </c>
      <c r="E82" s="56">
        <v>18500</v>
      </c>
      <c r="F82" s="57">
        <v>18494</v>
      </c>
      <c r="G82" s="36" t="s">
        <v>467</v>
      </c>
      <c r="H82" s="36" t="s">
        <v>466</v>
      </c>
    </row>
    <row r="83" spans="1:8" ht="23.25" customHeight="1" thickBot="1" x14ac:dyDescent="0.3">
      <c r="A83" s="423" t="s">
        <v>141</v>
      </c>
      <c r="B83" s="424"/>
      <c r="C83" s="424"/>
      <c r="D83" s="424"/>
      <c r="E83" s="424"/>
      <c r="F83" s="424"/>
      <c r="G83" s="424"/>
      <c r="H83" s="425"/>
    </row>
    <row r="84" spans="1:8" ht="51" customHeight="1" x14ac:dyDescent="0.25">
      <c r="A84" s="74" t="s">
        <v>142</v>
      </c>
      <c r="B84" s="75" t="s">
        <v>143</v>
      </c>
      <c r="C84" s="15" t="s">
        <v>144</v>
      </c>
      <c r="D84" s="61">
        <v>9068.4699999999993</v>
      </c>
      <c r="E84" s="17" t="s">
        <v>61</v>
      </c>
      <c r="F84" s="62">
        <v>6261.5</v>
      </c>
      <c r="G84" s="279" t="s">
        <v>463</v>
      </c>
      <c r="H84" s="446" t="s">
        <v>145</v>
      </c>
    </row>
    <row r="85" spans="1:8" ht="67.5" customHeight="1" x14ac:dyDescent="0.25">
      <c r="A85" s="47" t="s">
        <v>146</v>
      </c>
      <c r="B85" s="48" t="s">
        <v>147</v>
      </c>
      <c r="C85" s="22" t="s">
        <v>144</v>
      </c>
      <c r="D85" s="66">
        <v>2982.92</v>
      </c>
      <c r="E85" s="384" t="s">
        <v>61</v>
      </c>
      <c r="F85" s="24">
        <v>2924.2</v>
      </c>
      <c r="G85" s="27" t="s">
        <v>463</v>
      </c>
      <c r="H85" s="447"/>
    </row>
    <row r="86" spans="1:8" x14ac:dyDescent="0.25">
      <c r="A86" s="47" t="s">
        <v>148</v>
      </c>
      <c r="B86" s="48" t="s">
        <v>149</v>
      </c>
      <c r="C86" s="22" t="s">
        <v>50</v>
      </c>
      <c r="D86" s="66">
        <v>118</v>
      </c>
      <c r="E86" s="384" t="s">
        <v>61</v>
      </c>
      <c r="F86" s="24">
        <v>90</v>
      </c>
      <c r="G86" s="27" t="s">
        <v>463</v>
      </c>
      <c r="H86" s="447"/>
    </row>
    <row r="87" spans="1:8" ht="57.75" customHeight="1" x14ac:dyDescent="0.25">
      <c r="A87" s="47" t="s">
        <v>150</v>
      </c>
      <c r="B87" s="48" t="s">
        <v>147</v>
      </c>
      <c r="C87" s="22" t="s">
        <v>50</v>
      </c>
      <c r="D87" s="66">
        <v>46</v>
      </c>
      <c r="E87" s="384" t="s">
        <v>61</v>
      </c>
      <c r="F87" s="24">
        <v>52</v>
      </c>
      <c r="G87" s="27" t="s">
        <v>463</v>
      </c>
      <c r="H87" s="447"/>
    </row>
    <row r="88" spans="1:8" ht="48" customHeight="1" x14ac:dyDescent="0.25">
      <c r="A88" s="47" t="s">
        <v>151</v>
      </c>
      <c r="B88" s="48" t="s">
        <v>152</v>
      </c>
      <c r="C88" s="22" t="s">
        <v>50</v>
      </c>
      <c r="D88" s="66">
        <v>423</v>
      </c>
      <c r="E88" s="384" t="s">
        <v>61</v>
      </c>
      <c r="F88" s="24" t="s">
        <v>61</v>
      </c>
      <c r="G88" s="132"/>
      <c r="H88" s="76"/>
    </row>
    <row r="89" spans="1:8" ht="74.25" customHeight="1" x14ac:dyDescent="0.25">
      <c r="A89" s="47" t="s">
        <v>153</v>
      </c>
      <c r="B89" s="48" t="s">
        <v>154</v>
      </c>
      <c r="C89" s="22" t="s">
        <v>41</v>
      </c>
      <c r="D89" s="66">
        <v>88.65</v>
      </c>
      <c r="E89" s="384" t="s">
        <v>61</v>
      </c>
      <c r="F89" s="24" t="s">
        <v>61</v>
      </c>
      <c r="G89" s="132"/>
      <c r="H89" s="76"/>
    </row>
    <row r="90" spans="1:8" ht="60.75" customHeight="1" thickBot="1" x14ac:dyDescent="0.3">
      <c r="A90" s="51" t="s">
        <v>155</v>
      </c>
      <c r="B90" s="52" t="s">
        <v>156</v>
      </c>
      <c r="C90" s="33" t="s">
        <v>157</v>
      </c>
      <c r="D90" s="78">
        <v>324</v>
      </c>
      <c r="E90" s="385" t="s">
        <v>61</v>
      </c>
      <c r="F90" s="35" t="s">
        <v>61</v>
      </c>
      <c r="G90" s="308"/>
      <c r="H90" s="36"/>
    </row>
  </sheetData>
  <mergeCells count="32">
    <mergeCell ref="H72:H75"/>
    <mergeCell ref="A78:H78"/>
    <mergeCell ref="A81:H81"/>
    <mergeCell ref="A83:H83"/>
    <mergeCell ref="H84:H87"/>
    <mergeCell ref="A66:H66"/>
    <mergeCell ref="A24:H24"/>
    <mergeCell ref="A36:H36"/>
    <mergeCell ref="H38:H39"/>
    <mergeCell ref="A40:H40"/>
    <mergeCell ref="H41:H42"/>
    <mergeCell ref="A43:H43"/>
    <mergeCell ref="A45:H45"/>
    <mergeCell ref="A51:H51"/>
    <mergeCell ref="A52:H52"/>
    <mergeCell ref="A57:H57"/>
    <mergeCell ref="H61:H65"/>
    <mergeCell ref="A19:H19"/>
    <mergeCell ref="A20:A22"/>
    <mergeCell ref="B20:B22"/>
    <mergeCell ref="C20:C22"/>
    <mergeCell ref="D20:F20"/>
    <mergeCell ref="G20:G22"/>
    <mergeCell ref="H20:H22"/>
    <mergeCell ref="D21:D22"/>
    <mergeCell ref="E21:F21"/>
    <mergeCell ref="A18:H18"/>
    <mergeCell ref="A1:H1"/>
    <mergeCell ref="A14:H14"/>
    <mergeCell ref="A15:H15"/>
    <mergeCell ref="A16:H16"/>
    <mergeCell ref="A17:H17"/>
  </mergeCells>
  <pageMargins left="0.61" right="0.16" top="0.24" bottom="0.34" header="0.16" footer="0.2"/>
  <pageSetup paperSize="9" scale="87" orientation="landscape" r:id="rId1"/>
  <headerFooter alignWithMargins="0"/>
  <rowBreaks count="1" manualBreakCount="1">
    <brk id="4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zoomScale="80" zoomScaleNormal="80" workbookViewId="0">
      <selection activeCell="D79" sqref="D79"/>
    </sheetView>
  </sheetViews>
  <sheetFormatPr defaultRowHeight="15" x14ac:dyDescent="0.25"/>
  <cols>
    <col min="1" max="1" width="7.140625" customWidth="1"/>
    <col min="2" max="2" width="28.42578125" customWidth="1"/>
    <col min="3" max="3" width="16" customWidth="1"/>
    <col min="4" max="4" width="17.42578125" customWidth="1"/>
    <col min="5" max="5" width="16.85546875" customWidth="1"/>
    <col min="6" max="6" width="16.5703125" customWidth="1"/>
    <col min="7" max="7" width="45.7109375" customWidth="1"/>
    <col min="8" max="8" width="34" customWidth="1"/>
    <col min="9" max="9" width="43" customWidth="1"/>
  </cols>
  <sheetData>
    <row r="1" spans="1:9" ht="18.75" x14ac:dyDescent="0.3">
      <c r="I1" s="3" t="s">
        <v>158</v>
      </c>
    </row>
    <row r="2" spans="1:9" ht="18.75" x14ac:dyDescent="0.3">
      <c r="I2" s="3" t="s">
        <v>1</v>
      </c>
    </row>
    <row r="3" spans="1:9" ht="18.75" x14ac:dyDescent="0.3">
      <c r="I3" s="3" t="s">
        <v>2</v>
      </c>
    </row>
    <row r="4" spans="1:9" ht="18.75" x14ac:dyDescent="0.3">
      <c r="I4" s="3" t="s">
        <v>3</v>
      </c>
    </row>
    <row r="5" spans="1:9" ht="18.75" x14ac:dyDescent="0.3">
      <c r="I5" s="3" t="s">
        <v>4</v>
      </c>
    </row>
    <row r="6" spans="1:9" ht="18.75" x14ac:dyDescent="0.3">
      <c r="I6" s="3" t="s">
        <v>5</v>
      </c>
    </row>
    <row r="7" spans="1:9" ht="18.75" x14ac:dyDescent="0.3">
      <c r="I7" s="3" t="s">
        <v>6</v>
      </c>
    </row>
    <row r="8" spans="1:9" ht="18.75" x14ac:dyDescent="0.3">
      <c r="I8" s="3" t="s">
        <v>3</v>
      </c>
    </row>
    <row r="9" spans="1:9" ht="18.75" x14ac:dyDescent="0.25">
      <c r="I9" s="4" t="s">
        <v>7</v>
      </c>
    </row>
    <row r="10" spans="1:9" ht="18.75" x14ac:dyDescent="0.3">
      <c r="I10" s="3" t="s">
        <v>8</v>
      </c>
    </row>
    <row r="11" spans="1:9" ht="18.75" x14ac:dyDescent="0.3">
      <c r="I11" s="3" t="s">
        <v>9</v>
      </c>
    </row>
    <row r="12" spans="1:9" ht="18.75" x14ac:dyDescent="0.25">
      <c r="I12" s="4" t="s">
        <v>11</v>
      </c>
    </row>
    <row r="13" spans="1:9" s="97" customFormat="1" ht="18.75" x14ac:dyDescent="0.25">
      <c r="A13" s="95" t="s">
        <v>10</v>
      </c>
      <c r="B13" s="96"/>
      <c r="C13" s="96"/>
      <c r="D13" s="96"/>
      <c r="E13" s="96"/>
      <c r="F13" s="96"/>
    </row>
    <row r="14" spans="1:9" s="97" customFormat="1" ht="18.75" x14ac:dyDescent="0.25">
      <c r="A14" s="502" t="s">
        <v>12</v>
      </c>
      <c r="B14" s="502"/>
      <c r="C14" s="502"/>
      <c r="D14" s="502"/>
      <c r="E14" s="502"/>
      <c r="F14" s="502"/>
      <c r="G14" s="502"/>
      <c r="H14" s="502"/>
      <c r="I14" s="502"/>
    </row>
    <row r="15" spans="1:9" s="97" customFormat="1" ht="18.75" x14ac:dyDescent="0.25">
      <c r="A15" s="503" t="s">
        <v>159</v>
      </c>
      <c r="B15" s="503"/>
      <c r="C15" s="503"/>
      <c r="D15" s="503"/>
      <c r="E15" s="503"/>
      <c r="F15" s="503"/>
      <c r="G15" s="503"/>
      <c r="H15" s="503"/>
      <c r="I15" s="503"/>
    </row>
    <row r="16" spans="1:9" s="97" customFormat="1" ht="18.75" x14ac:dyDescent="0.25">
      <c r="A16" s="503" t="s">
        <v>160</v>
      </c>
      <c r="B16" s="503"/>
      <c r="C16" s="503"/>
      <c r="D16" s="503"/>
      <c r="E16" s="503"/>
      <c r="F16" s="503"/>
      <c r="G16" s="503"/>
      <c r="H16" s="503"/>
      <c r="I16" s="503"/>
    </row>
    <row r="17" spans="1:12" s="97" customFormat="1" ht="18.75" x14ac:dyDescent="0.25">
      <c r="A17" s="503" t="s">
        <v>161</v>
      </c>
      <c r="B17" s="503"/>
      <c r="C17" s="503"/>
      <c r="D17" s="503"/>
      <c r="E17" s="503"/>
      <c r="F17" s="503"/>
      <c r="G17" s="503"/>
      <c r="H17" s="503"/>
      <c r="I17" s="503"/>
    </row>
    <row r="18" spans="1:12" s="97" customFormat="1" ht="36" customHeight="1" x14ac:dyDescent="0.25">
      <c r="A18" s="503" t="s">
        <v>162</v>
      </c>
      <c r="B18" s="504"/>
      <c r="C18" s="504"/>
      <c r="D18" s="504"/>
      <c r="E18" s="504"/>
      <c r="F18" s="504"/>
      <c r="G18" s="504"/>
      <c r="H18" s="504"/>
      <c r="I18" s="504"/>
    </row>
    <row r="19" spans="1:12" s="97" customFormat="1" ht="15.75" customHeight="1" x14ac:dyDescent="0.25">
      <c r="A19" s="500" t="s">
        <v>15</v>
      </c>
      <c r="B19" s="500"/>
      <c r="C19" s="500"/>
      <c r="D19" s="500"/>
      <c r="E19" s="500"/>
      <c r="F19" s="500"/>
      <c r="G19" s="501"/>
      <c r="H19" s="501"/>
      <c r="I19" s="501"/>
    </row>
    <row r="20" spans="1:12" s="97" customFormat="1" ht="28.5" customHeight="1" thickBot="1" x14ac:dyDescent="0.35">
      <c r="A20" s="398" t="s">
        <v>16</v>
      </c>
      <c r="B20" s="399"/>
      <c r="C20" s="399"/>
      <c r="D20" s="399"/>
      <c r="E20" s="399"/>
      <c r="F20" s="399"/>
      <c r="G20" s="485"/>
      <c r="H20" s="485"/>
      <c r="I20" s="485"/>
    </row>
    <row r="21" spans="1:12" s="97" customFormat="1" ht="29.25" customHeight="1" x14ac:dyDescent="0.25">
      <c r="A21" s="486" t="s">
        <v>17</v>
      </c>
      <c r="B21" s="488" t="s">
        <v>406</v>
      </c>
      <c r="C21" s="490" t="s">
        <v>163</v>
      </c>
      <c r="D21" s="490"/>
      <c r="E21" s="490" t="s">
        <v>164</v>
      </c>
      <c r="F21" s="490"/>
      <c r="G21" s="490" t="s">
        <v>165</v>
      </c>
      <c r="H21" s="490"/>
      <c r="I21" s="491" t="s">
        <v>166</v>
      </c>
    </row>
    <row r="22" spans="1:12" s="97" customFormat="1" ht="144.75" customHeight="1" thickBot="1" x14ac:dyDescent="0.3">
      <c r="A22" s="487"/>
      <c r="B22" s="489"/>
      <c r="C22" s="98" t="s">
        <v>167</v>
      </c>
      <c r="D22" s="98" t="s">
        <v>168</v>
      </c>
      <c r="E22" s="98" t="s">
        <v>167</v>
      </c>
      <c r="F22" s="98" t="s">
        <v>168</v>
      </c>
      <c r="G22" s="98" t="s">
        <v>169</v>
      </c>
      <c r="H22" s="98" t="s">
        <v>170</v>
      </c>
      <c r="I22" s="492"/>
    </row>
    <row r="23" spans="1:12" s="97" customFormat="1" ht="22.5" customHeight="1" thickBot="1" x14ac:dyDescent="0.3">
      <c r="A23" s="99">
        <v>1</v>
      </c>
      <c r="B23" s="100">
        <v>2</v>
      </c>
      <c r="C23" s="101">
        <v>3</v>
      </c>
      <c r="D23" s="101">
        <v>4</v>
      </c>
      <c r="E23" s="101">
        <v>5</v>
      </c>
      <c r="F23" s="101">
        <v>6</v>
      </c>
      <c r="G23" s="101">
        <v>7</v>
      </c>
      <c r="H23" s="101">
        <v>8</v>
      </c>
      <c r="I23" s="102" t="s">
        <v>464</v>
      </c>
    </row>
    <row r="24" spans="1:12" s="97" customFormat="1" ht="409.6" customHeight="1" thickBot="1" x14ac:dyDescent="0.3">
      <c r="A24" s="103" t="s">
        <v>28</v>
      </c>
      <c r="B24" s="104" t="s">
        <v>171</v>
      </c>
      <c r="C24" s="105">
        <v>2013</v>
      </c>
      <c r="D24" s="105">
        <v>2020</v>
      </c>
      <c r="E24" s="105">
        <v>2013</v>
      </c>
      <c r="F24" s="105" t="s">
        <v>61</v>
      </c>
      <c r="G24" s="105" t="s">
        <v>172</v>
      </c>
      <c r="H24" s="105" t="s">
        <v>173</v>
      </c>
      <c r="I24" s="106" t="s">
        <v>459</v>
      </c>
      <c r="K24" s="107"/>
      <c r="L24" s="107"/>
    </row>
    <row r="25" spans="1:12" s="97" customFormat="1" ht="24.75" customHeight="1" thickBot="1" x14ac:dyDescent="0.3">
      <c r="A25" s="108"/>
      <c r="B25" s="109" t="s">
        <v>174</v>
      </c>
      <c r="C25" s="110"/>
      <c r="D25" s="110"/>
      <c r="E25" s="110"/>
      <c r="F25" s="110"/>
      <c r="G25" s="110"/>
      <c r="H25" s="111"/>
      <c r="I25" s="112"/>
      <c r="K25" s="107"/>
      <c r="L25" s="107"/>
    </row>
    <row r="26" spans="1:12" s="97" customFormat="1" ht="42.75" customHeight="1" thickBot="1" x14ac:dyDescent="0.3">
      <c r="A26" s="103" t="s">
        <v>175</v>
      </c>
      <c r="B26" s="457" t="s">
        <v>176</v>
      </c>
      <c r="C26" s="458"/>
      <c r="D26" s="458"/>
      <c r="E26" s="458"/>
      <c r="F26" s="458"/>
      <c r="G26" s="458"/>
      <c r="H26" s="458"/>
      <c r="I26" s="459"/>
      <c r="K26" s="107"/>
      <c r="L26" s="107"/>
    </row>
    <row r="27" spans="1:12" s="97" customFormat="1" ht="85.5" customHeight="1" x14ac:dyDescent="0.25">
      <c r="A27" s="113" t="s">
        <v>177</v>
      </c>
      <c r="B27" s="114" t="s">
        <v>178</v>
      </c>
      <c r="C27" s="115">
        <v>2013</v>
      </c>
      <c r="D27" s="115">
        <v>2020</v>
      </c>
      <c r="E27" s="115">
        <v>2013</v>
      </c>
      <c r="F27" s="115" t="s">
        <v>61</v>
      </c>
      <c r="G27" s="493" t="s">
        <v>179</v>
      </c>
      <c r="H27" s="115" t="s">
        <v>180</v>
      </c>
      <c r="I27" s="116"/>
      <c r="K27" s="117"/>
      <c r="L27" s="107"/>
    </row>
    <row r="28" spans="1:12" s="97" customFormat="1" ht="89.25" customHeight="1" x14ac:dyDescent="0.25">
      <c r="A28" s="118" t="s">
        <v>181</v>
      </c>
      <c r="B28" s="119" t="s">
        <v>182</v>
      </c>
      <c r="C28" s="120">
        <v>2013</v>
      </c>
      <c r="D28" s="120">
        <v>2020</v>
      </c>
      <c r="E28" s="120">
        <v>2013</v>
      </c>
      <c r="F28" s="120" t="s">
        <v>61</v>
      </c>
      <c r="G28" s="494"/>
      <c r="H28" s="473" t="s">
        <v>183</v>
      </c>
      <c r="I28" s="121" t="s">
        <v>461</v>
      </c>
      <c r="K28" s="107"/>
      <c r="L28" s="107"/>
    </row>
    <row r="29" spans="1:12" s="97" customFormat="1" ht="58.5" customHeight="1" x14ac:dyDescent="0.25">
      <c r="A29" s="118" t="s">
        <v>184</v>
      </c>
      <c r="B29" s="119" t="s">
        <v>185</v>
      </c>
      <c r="C29" s="120">
        <v>2013</v>
      </c>
      <c r="D29" s="120">
        <v>2020</v>
      </c>
      <c r="E29" s="120">
        <v>2013</v>
      </c>
      <c r="F29" s="120" t="s">
        <v>61</v>
      </c>
      <c r="G29" s="494"/>
      <c r="H29" s="474"/>
      <c r="I29" s="122"/>
    </row>
    <row r="30" spans="1:12" s="97" customFormat="1" ht="108" customHeight="1" x14ac:dyDescent="0.25">
      <c r="A30" s="118" t="s">
        <v>186</v>
      </c>
      <c r="B30" s="119" t="s">
        <v>187</v>
      </c>
      <c r="C30" s="120">
        <v>2013</v>
      </c>
      <c r="D30" s="120">
        <v>2020</v>
      </c>
      <c r="E30" s="120">
        <v>2013</v>
      </c>
      <c r="F30" s="120" t="s">
        <v>61</v>
      </c>
      <c r="G30" s="494"/>
      <c r="H30" s="120" t="s">
        <v>188</v>
      </c>
      <c r="I30" s="121" t="s">
        <v>460</v>
      </c>
    </row>
    <row r="31" spans="1:12" s="97" customFormat="1" ht="74.25" customHeight="1" x14ac:dyDescent="0.25">
      <c r="A31" s="118" t="s">
        <v>189</v>
      </c>
      <c r="B31" s="119" t="s">
        <v>190</v>
      </c>
      <c r="C31" s="120">
        <v>2013</v>
      </c>
      <c r="D31" s="120">
        <v>2020</v>
      </c>
      <c r="E31" s="120">
        <v>2013</v>
      </c>
      <c r="F31" s="120" t="s">
        <v>61</v>
      </c>
      <c r="G31" s="494"/>
      <c r="H31" s="120" t="s">
        <v>191</v>
      </c>
      <c r="I31" s="121" t="s">
        <v>460</v>
      </c>
    </row>
    <row r="32" spans="1:12" s="97" customFormat="1" ht="66.75" customHeight="1" x14ac:dyDescent="0.25">
      <c r="A32" s="118" t="s">
        <v>192</v>
      </c>
      <c r="B32" s="119" t="s">
        <v>193</v>
      </c>
      <c r="C32" s="120">
        <v>2013</v>
      </c>
      <c r="D32" s="120">
        <v>2020</v>
      </c>
      <c r="E32" s="120">
        <v>2013</v>
      </c>
      <c r="F32" s="120" t="s">
        <v>61</v>
      </c>
      <c r="G32" s="494"/>
      <c r="H32" s="120" t="s">
        <v>194</v>
      </c>
      <c r="I32" s="121"/>
    </row>
    <row r="33" spans="1:9" s="97" customFormat="1" ht="88.5" customHeight="1" x14ac:dyDescent="0.25">
      <c r="A33" s="118" t="s">
        <v>195</v>
      </c>
      <c r="B33" s="119" t="s">
        <v>196</v>
      </c>
      <c r="C33" s="120">
        <v>2013</v>
      </c>
      <c r="D33" s="120">
        <v>2020</v>
      </c>
      <c r="E33" s="120">
        <v>2013</v>
      </c>
      <c r="F33" s="120" t="s">
        <v>61</v>
      </c>
      <c r="G33" s="494"/>
      <c r="H33" s="120" t="s">
        <v>197</v>
      </c>
      <c r="I33" s="121" t="s">
        <v>460</v>
      </c>
    </row>
    <row r="34" spans="1:9" s="97" customFormat="1" ht="91.5" customHeight="1" x14ac:dyDescent="0.25">
      <c r="A34" s="118" t="s">
        <v>198</v>
      </c>
      <c r="B34" s="119" t="s">
        <v>199</v>
      </c>
      <c r="C34" s="120">
        <v>2013</v>
      </c>
      <c r="D34" s="120">
        <v>2020</v>
      </c>
      <c r="E34" s="120">
        <v>2013</v>
      </c>
      <c r="F34" s="120" t="s">
        <v>61</v>
      </c>
      <c r="G34" s="494"/>
      <c r="H34" s="120" t="s">
        <v>200</v>
      </c>
      <c r="I34" s="121" t="s">
        <v>460</v>
      </c>
    </row>
    <row r="35" spans="1:9" s="97" customFormat="1" ht="93.75" customHeight="1" x14ac:dyDescent="0.25">
      <c r="A35" s="118" t="s">
        <v>201</v>
      </c>
      <c r="B35" s="119" t="s">
        <v>202</v>
      </c>
      <c r="C35" s="120">
        <v>2013</v>
      </c>
      <c r="D35" s="120">
        <v>2020</v>
      </c>
      <c r="E35" s="120">
        <v>2013</v>
      </c>
      <c r="F35" s="120" t="s">
        <v>61</v>
      </c>
      <c r="G35" s="494"/>
      <c r="H35" s="120" t="s">
        <v>203</v>
      </c>
      <c r="I35" s="121" t="s">
        <v>460</v>
      </c>
    </row>
    <row r="36" spans="1:9" s="97" customFormat="1" ht="81.75" customHeight="1" x14ac:dyDescent="0.25">
      <c r="A36" s="118" t="s">
        <v>204</v>
      </c>
      <c r="B36" s="119" t="s">
        <v>205</v>
      </c>
      <c r="C36" s="120">
        <v>2013</v>
      </c>
      <c r="D36" s="120">
        <v>2020</v>
      </c>
      <c r="E36" s="120">
        <v>2013</v>
      </c>
      <c r="F36" s="120" t="s">
        <v>61</v>
      </c>
      <c r="G36" s="494"/>
      <c r="H36" s="496" t="s">
        <v>206</v>
      </c>
      <c r="I36" s="121"/>
    </row>
    <row r="37" spans="1:9" s="97" customFormat="1" ht="87" customHeight="1" thickBot="1" x14ac:dyDescent="0.3">
      <c r="A37" s="123"/>
      <c r="B37" s="124" t="s">
        <v>207</v>
      </c>
      <c r="C37" s="125">
        <v>2013</v>
      </c>
      <c r="D37" s="125">
        <v>2020</v>
      </c>
      <c r="E37" s="125">
        <v>2013</v>
      </c>
      <c r="F37" s="125" t="s">
        <v>61</v>
      </c>
      <c r="G37" s="495"/>
      <c r="H37" s="497"/>
      <c r="I37" s="126"/>
    </row>
    <row r="38" spans="1:9" s="97" customFormat="1" ht="25.5" customHeight="1" thickBot="1" x14ac:dyDescent="0.3">
      <c r="A38" s="103" t="s">
        <v>208</v>
      </c>
      <c r="B38" s="454" t="s">
        <v>64</v>
      </c>
      <c r="C38" s="455"/>
      <c r="D38" s="455"/>
      <c r="E38" s="455"/>
      <c r="F38" s="455"/>
      <c r="G38" s="455"/>
      <c r="H38" s="455"/>
      <c r="I38" s="456"/>
    </row>
    <row r="39" spans="1:9" s="97" customFormat="1" ht="150" customHeight="1" x14ac:dyDescent="0.25">
      <c r="A39" s="113" t="s">
        <v>209</v>
      </c>
      <c r="B39" s="114" t="s">
        <v>210</v>
      </c>
      <c r="C39" s="115">
        <v>2013</v>
      </c>
      <c r="D39" s="115">
        <v>2020</v>
      </c>
      <c r="E39" s="115">
        <v>2013</v>
      </c>
      <c r="F39" s="115" t="s">
        <v>61</v>
      </c>
      <c r="G39" s="483" t="s">
        <v>211</v>
      </c>
      <c r="H39" s="460" t="s">
        <v>212</v>
      </c>
      <c r="I39" s="498" t="s">
        <v>449</v>
      </c>
    </row>
    <row r="40" spans="1:9" s="97" customFormat="1" ht="54" customHeight="1" thickBot="1" x14ac:dyDescent="0.3">
      <c r="A40" s="118" t="s">
        <v>213</v>
      </c>
      <c r="B40" s="119" t="s">
        <v>214</v>
      </c>
      <c r="C40" s="120">
        <v>2013</v>
      </c>
      <c r="D40" s="120">
        <v>2020</v>
      </c>
      <c r="E40" s="120">
        <v>2013</v>
      </c>
      <c r="F40" s="120" t="s">
        <v>61</v>
      </c>
      <c r="G40" s="484"/>
      <c r="H40" s="474"/>
      <c r="I40" s="499"/>
    </row>
    <row r="41" spans="1:9" s="97" customFormat="1" ht="72" customHeight="1" x14ac:dyDescent="0.25">
      <c r="A41" s="118" t="s">
        <v>215</v>
      </c>
      <c r="B41" s="119" t="s">
        <v>216</v>
      </c>
      <c r="C41" s="120">
        <v>2013</v>
      </c>
      <c r="D41" s="120">
        <v>2020</v>
      </c>
      <c r="E41" s="120">
        <v>2013</v>
      </c>
      <c r="F41" s="120" t="s">
        <v>61</v>
      </c>
      <c r="G41" s="484"/>
      <c r="H41" s="474"/>
      <c r="I41" s="121"/>
    </row>
    <row r="42" spans="1:9" s="97" customFormat="1" ht="118.5" customHeight="1" thickBot="1" x14ac:dyDescent="0.3">
      <c r="A42" s="123" t="s">
        <v>217</v>
      </c>
      <c r="B42" s="127" t="s">
        <v>218</v>
      </c>
      <c r="C42" s="125">
        <v>2013</v>
      </c>
      <c r="D42" s="125">
        <v>2020</v>
      </c>
      <c r="E42" s="125">
        <v>2013</v>
      </c>
      <c r="F42" s="125" t="s">
        <v>61</v>
      </c>
      <c r="G42" s="453"/>
      <c r="H42" s="125" t="s">
        <v>219</v>
      </c>
      <c r="I42" s="126"/>
    </row>
    <row r="43" spans="1:9" s="97" customFormat="1" ht="31.5" customHeight="1" thickBot="1" x14ac:dyDescent="0.3">
      <c r="A43" s="103" t="s">
        <v>220</v>
      </c>
      <c r="B43" s="457" t="s">
        <v>221</v>
      </c>
      <c r="C43" s="458"/>
      <c r="D43" s="458"/>
      <c r="E43" s="458"/>
      <c r="F43" s="458"/>
      <c r="G43" s="458"/>
      <c r="H43" s="458"/>
      <c r="I43" s="459"/>
    </row>
    <row r="44" spans="1:9" s="97" customFormat="1" ht="69.75" customHeight="1" x14ac:dyDescent="0.25">
      <c r="A44" s="128" t="s">
        <v>222</v>
      </c>
      <c r="B44" s="114" t="s">
        <v>223</v>
      </c>
      <c r="C44" s="115">
        <v>2013</v>
      </c>
      <c r="D44" s="115">
        <v>2020</v>
      </c>
      <c r="E44" s="115">
        <v>2013</v>
      </c>
      <c r="F44" s="115" t="s">
        <v>61</v>
      </c>
      <c r="G44" s="464" t="s">
        <v>224</v>
      </c>
      <c r="H44" s="467" t="s">
        <v>225</v>
      </c>
      <c r="I44" s="116"/>
    </row>
    <row r="45" spans="1:9" s="97" customFormat="1" ht="126.75" customHeight="1" x14ac:dyDescent="0.25">
      <c r="A45" s="118" t="s">
        <v>226</v>
      </c>
      <c r="B45" s="119" t="s">
        <v>227</v>
      </c>
      <c r="C45" s="120">
        <v>2013</v>
      </c>
      <c r="D45" s="120">
        <v>2020</v>
      </c>
      <c r="E45" s="120">
        <v>2013</v>
      </c>
      <c r="F45" s="120" t="s">
        <v>61</v>
      </c>
      <c r="G45" s="465"/>
      <c r="H45" s="468"/>
      <c r="I45" s="121"/>
    </row>
    <row r="46" spans="1:9" s="97" customFormat="1" ht="55.5" customHeight="1" x14ac:dyDescent="0.25">
      <c r="A46" s="118" t="s">
        <v>228</v>
      </c>
      <c r="B46" s="119" t="s">
        <v>229</v>
      </c>
      <c r="C46" s="120">
        <v>2013</v>
      </c>
      <c r="D46" s="120">
        <v>2020</v>
      </c>
      <c r="E46" s="120">
        <v>2013</v>
      </c>
      <c r="F46" s="120" t="s">
        <v>61</v>
      </c>
      <c r="G46" s="465"/>
      <c r="H46" s="468"/>
      <c r="I46" s="121"/>
    </row>
    <row r="47" spans="1:9" s="97" customFormat="1" ht="67.5" customHeight="1" x14ac:dyDescent="0.25">
      <c r="A47" s="118" t="s">
        <v>230</v>
      </c>
      <c r="B47" s="119" t="s">
        <v>231</v>
      </c>
      <c r="C47" s="120">
        <v>2013</v>
      </c>
      <c r="D47" s="120">
        <v>2020</v>
      </c>
      <c r="E47" s="120">
        <v>2013</v>
      </c>
      <c r="F47" s="120" t="s">
        <v>61</v>
      </c>
      <c r="G47" s="465"/>
      <c r="H47" s="468"/>
      <c r="I47" s="121"/>
    </row>
    <row r="48" spans="1:9" s="97" customFormat="1" ht="69" customHeight="1" thickBot="1" x14ac:dyDescent="0.3">
      <c r="A48" s="123" t="s">
        <v>232</v>
      </c>
      <c r="B48" s="127" t="s">
        <v>233</v>
      </c>
      <c r="C48" s="125">
        <v>2013</v>
      </c>
      <c r="D48" s="125">
        <v>2020</v>
      </c>
      <c r="E48" s="125">
        <v>2013</v>
      </c>
      <c r="F48" s="125" t="s">
        <v>61</v>
      </c>
      <c r="G48" s="466"/>
      <c r="H48" s="469"/>
      <c r="I48" s="126"/>
    </row>
    <row r="49" spans="1:9" s="97" customFormat="1" ht="22.5" customHeight="1" x14ac:dyDescent="0.25">
      <c r="A49" s="130" t="s">
        <v>234</v>
      </c>
      <c r="B49" s="470" t="s">
        <v>71</v>
      </c>
      <c r="C49" s="471"/>
      <c r="D49" s="471"/>
      <c r="E49" s="471"/>
      <c r="F49" s="471"/>
      <c r="G49" s="471"/>
      <c r="H49" s="471"/>
      <c r="I49" s="472"/>
    </row>
    <row r="50" spans="1:9" s="97" customFormat="1" ht="108" customHeight="1" x14ac:dyDescent="0.25">
      <c r="A50" s="131" t="s">
        <v>235</v>
      </c>
      <c r="B50" s="119" t="s">
        <v>236</v>
      </c>
      <c r="C50" s="120">
        <v>2013</v>
      </c>
      <c r="D50" s="120">
        <v>2020</v>
      </c>
      <c r="E50" s="120">
        <v>2013</v>
      </c>
      <c r="F50" s="120" t="s">
        <v>61</v>
      </c>
      <c r="G50" s="473" t="s">
        <v>237</v>
      </c>
      <c r="H50" s="27"/>
      <c r="I50" s="27" t="s">
        <v>238</v>
      </c>
    </row>
    <row r="51" spans="1:9" s="97" customFormat="1" ht="49.5" customHeight="1" x14ac:dyDescent="0.25">
      <c r="A51" s="131" t="s">
        <v>239</v>
      </c>
      <c r="B51" s="119" t="s">
        <v>240</v>
      </c>
      <c r="C51" s="120">
        <v>2013</v>
      </c>
      <c r="D51" s="120">
        <v>2020</v>
      </c>
      <c r="E51" s="120">
        <v>2013</v>
      </c>
      <c r="F51" s="120" t="s">
        <v>61</v>
      </c>
      <c r="G51" s="474"/>
      <c r="H51" s="132"/>
      <c r="I51" s="132" t="s">
        <v>241</v>
      </c>
    </row>
    <row r="52" spans="1:9" s="97" customFormat="1" ht="75.75" customHeight="1" thickBot="1" x14ac:dyDescent="0.3">
      <c r="A52" s="133" t="s">
        <v>242</v>
      </c>
      <c r="B52" s="134" t="s">
        <v>243</v>
      </c>
      <c r="C52" s="135">
        <v>2013</v>
      </c>
      <c r="D52" s="135">
        <v>2020</v>
      </c>
      <c r="E52" s="135">
        <v>2013</v>
      </c>
      <c r="F52" s="135" t="s">
        <v>61</v>
      </c>
      <c r="G52" s="475"/>
      <c r="H52" s="136"/>
      <c r="I52" s="136" t="s">
        <v>241</v>
      </c>
    </row>
    <row r="53" spans="1:9" s="97" customFormat="1" ht="23.25" customHeight="1" thickBot="1" x14ac:dyDescent="0.3">
      <c r="A53" s="103" t="s">
        <v>244</v>
      </c>
      <c r="B53" s="457" t="s">
        <v>245</v>
      </c>
      <c r="C53" s="458"/>
      <c r="D53" s="458"/>
      <c r="E53" s="458"/>
      <c r="F53" s="458"/>
      <c r="G53" s="458"/>
      <c r="H53" s="458"/>
      <c r="I53" s="459"/>
    </row>
    <row r="54" spans="1:9" s="97" customFormat="1" ht="51" customHeight="1" x14ac:dyDescent="0.25">
      <c r="A54" s="137" t="s">
        <v>246</v>
      </c>
      <c r="B54" s="138" t="s">
        <v>247</v>
      </c>
      <c r="C54" s="139">
        <v>2013</v>
      </c>
      <c r="D54" s="139">
        <v>2020</v>
      </c>
      <c r="E54" s="139">
        <v>2013</v>
      </c>
      <c r="F54" s="139" t="s">
        <v>61</v>
      </c>
      <c r="G54" s="476" t="s">
        <v>248</v>
      </c>
      <c r="H54" s="477" t="s">
        <v>249</v>
      </c>
      <c r="I54" s="140"/>
    </row>
    <row r="55" spans="1:9" s="97" customFormat="1" ht="57" customHeight="1" x14ac:dyDescent="0.25">
      <c r="A55" s="118" t="s">
        <v>250</v>
      </c>
      <c r="B55" s="119" t="s">
        <v>251</v>
      </c>
      <c r="C55" s="120">
        <v>2013</v>
      </c>
      <c r="D55" s="120">
        <v>2020</v>
      </c>
      <c r="E55" s="120">
        <v>2013</v>
      </c>
      <c r="F55" s="120" t="s">
        <v>61</v>
      </c>
      <c r="G55" s="477"/>
      <c r="H55" s="477"/>
      <c r="I55" s="121"/>
    </row>
    <row r="56" spans="1:9" s="97" customFormat="1" ht="51.75" customHeight="1" x14ac:dyDescent="0.25">
      <c r="A56" s="118" t="s">
        <v>252</v>
      </c>
      <c r="B56" s="119" t="s">
        <v>253</v>
      </c>
      <c r="C56" s="120">
        <v>2013</v>
      </c>
      <c r="D56" s="120">
        <v>2020</v>
      </c>
      <c r="E56" s="120">
        <v>2013</v>
      </c>
      <c r="F56" s="120" t="s">
        <v>61</v>
      </c>
      <c r="G56" s="477"/>
      <c r="H56" s="477"/>
      <c r="I56" s="121"/>
    </row>
    <row r="57" spans="1:9" s="97" customFormat="1" ht="72" customHeight="1" x14ac:dyDescent="0.25">
      <c r="A57" s="118" t="s">
        <v>254</v>
      </c>
      <c r="B57" s="119" t="s">
        <v>255</v>
      </c>
      <c r="C57" s="120">
        <v>2013</v>
      </c>
      <c r="D57" s="120">
        <v>2020</v>
      </c>
      <c r="E57" s="120">
        <v>2013</v>
      </c>
      <c r="F57" s="120" t="s">
        <v>61</v>
      </c>
      <c r="G57" s="478"/>
      <c r="H57" s="478"/>
      <c r="I57" s="121"/>
    </row>
    <row r="58" spans="1:9" s="97" customFormat="1" ht="67.5" customHeight="1" x14ac:dyDescent="0.25">
      <c r="A58" s="118" t="s">
        <v>256</v>
      </c>
      <c r="B58" s="119" t="s">
        <v>257</v>
      </c>
      <c r="C58" s="120">
        <v>2013</v>
      </c>
      <c r="D58" s="120">
        <v>2020</v>
      </c>
      <c r="E58" s="120">
        <v>2013</v>
      </c>
      <c r="F58" s="120" t="s">
        <v>61</v>
      </c>
      <c r="G58" s="478"/>
      <c r="H58" s="478"/>
      <c r="I58" s="121"/>
    </row>
    <row r="59" spans="1:9" s="97" customFormat="1" ht="112.5" customHeight="1" x14ac:dyDescent="0.25">
      <c r="A59" s="118" t="s">
        <v>258</v>
      </c>
      <c r="B59" s="119" t="s">
        <v>259</v>
      </c>
      <c r="C59" s="120">
        <v>2013</v>
      </c>
      <c r="D59" s="120">
        <v>2020</v>
      </c>
      <c r="E59" s="120">
        <v>2013</v>
      </c>
      <c r="F59" s="120" t="s">
        <v>61</v>
      </c>
      <c r="G59" s="478"/>
      <c r="H59" s="478"/>
      <c r="I59" s="121"/>
    </row>
    <row r="60" spans="1:9" s="97" customFormat="1" ht="147.75" customHeight="1" thickBot="1" x14ac:dyDescent="0.3">
      <c r="A60" s="123" t="s">
        <v>260</v>
      </c>
      <c r="B60" s="127" t="s">
        <v>261</v>
      </c>
      <c r="C60" s="125">
        <v>2013</v>
      </c>
      <c r="D60" s="125">
        <v>2020</v>
      </c>
      <c r="E60" s="125">
        <v>2013</v>
      </c>
      <c r="F60" s="125" t="s">
        <v>61</v>
      </c>
      <c r="G60" s="479"/>
      <c r="H60" s="479"/>
      <c r="I60" s="126"/>
    </row>
    <row r="61" spans="1:9" s="97" customFormat="1" ht="29.25" customHeight="1" thickBot="1" x14ac:dyDescent="0.3">
      <c r="A61" s="103" t="s">
        <v>262</v>
      </c>
      <c r="B61" s="457" t="s">
        <v>104</v>
      </c>
      <c r="C61" s="458"/>
      <c r="D61" s="458"/>
      <c r="E61" s="458"/>
      <c r="F61" s="458"/>
      <c r="G61" s="458"/>
      <c r="H61" s="458"/>
      <c r="I61" s="459"/>
    </row>
    <row r="62" spans="1:9" s="97" customFormat="1" ht="64.5" customHeight="1" x14ac:dyDescent="0.25">
      <c r="A62" s="141" t="s">
        <v>263</v>
      </c>
      <c r="B62" s="138" t="s">
        <v>264</v>
      </c>
      <c r="C62" s="139">
        <v>2013</v>
      </c>
      <c r="D62" s="139">
        <v>2020</v>
      </c>
      <c r="E62" s="139">
        <v>2013</v>
      </c>
      <c r="F62" s="139" t="s">
        <v>61</v>
      </c>
      <c r="G62" s="480" t="s">
        <v>265</v>
      </c>
      <c r="H62" s="451" t="s">
        <v>266</v>
      </c>
      <c r="I62" s="140"/>
    </row>
    <row r="63" spans="1:9" s="97" customFormat="1" ht="54.75" customHeight="1" x14ac:dyDescent="0.25">
      <c r="A63" s="118" t="s">
        <v>267</v>
      </c>
      <c r="B63" s="119" t="s">
        <v>268</v>
      </c>
      <c r="C63" s="120">
        <v>2013</v>
      </c>
      <c r="D63" s="120">
        <v>2020</v>
      </c>
      <c r="E63" s="120">
        <v>2013</v>
      </c>
      <c r="F63" s="120" t="s">
        <v>61</v>
      </c>
      <c r="G63" s="481"/>
      <c r="H63" s="452"/>
      <c r="I63" s="121"/>
    </row>
    <row r="64" spans="1:9" s="97" customFormat="1" ht="360.75" customHeight="1" thickBot="1" x14ac:dyDescent="0.3">
      <c r="A64" s="123" t="s">
        <v>269</v>
      </c>
      <c r="B64" s="127" t="s">
        <v>270</v>
      </c>
      <c r="C64" s="125">
        <v>2013</v>
      </c>
      <c r="D64" s="125">
        <v>2020</v>
      </c>
      <c r="E64" s="125">
        <v>2013</v>
      </c>
      <c r="F64" s="125" t="s">
        <v>61</v>
      </c>
      <c r="G64" s="482"/>
      <c r="H64" s="453"/>
      <c r="I64" s="126"/>
    </row>
    <row r="65" spans="1:10" s="97" customFormat="1" ht="15.75" customHeight="1" thickBot="1" x14ac:dyDescent="0.3">
      <c r="A65" s="103" t="s">
        <v>271</v>
      </c>
      <c r="B65" s="454" t="s">
        <v>272</v>
      </c>
      <c r="C65" s="455"/>
      <c r="D65" s="455"/>
      <c r="E65" s="455"/>
      <c r="F65" s="455"/>
      <c r="G65" s="455"/>
      <c r="H65" s="455"/>
      <c r="I65" s="456"/>
    </row>
    <row r="66" spans="1:10" s="97" customFormat="1" ht="145.5" customHeight="1" x14ac:dyDescent="0.25">
      <c r="A66" s="142" t="s">
        <v>273</v>
      </c>
      <c r="B66" s="138" t="s">
        <v>274</v>
      </c>
      <c r="C66" s="139">
        <v>2013</v>
      </c>
      <c r="D66" s="139">
        <v>2020</v>
      </c>
      <c r="E66" s="139">
        <v>2013</v>
      </c>
      <c r="F66" s="139" t="s">
        <v>61</v>
      </c>
      <c r="G66" s="451" t="s">
        <v>275</v>
      </c>
      <c r="H66" s="452" t="s">
        <v>276</v>
      </c>
      <c r="I66" s="140"/>
      <c r="J66" s="143"/>
    </row>
    <row r="67" spans="1:10" s="97" customFormat="1" ht="51.75" customHeight="1" x14ac:dyDescent="0.25">
      <c r="A67" s="144" t="s">
        <v>277</v>
      </c>
      <c r="B67" s="119" t="s">
        <v>278</v>
      </c>
      <c r="C67" s="120">
        <v>2013</v>
      </c>
      <c r="D67" s="120">
        <v>2020</v>
      </c>
      <c r="E67" s="120">
        <v>2013</v>
      </c>
      <c r="F67" s="120" t="s">
        <v>61</v>
      </c>
      <c r="G67" s="452"/>
      <c r="H67" s="452"/>
      <c r="I67" s="121"/>
      <c r="J67" s="143"/>
    </row>
    <row r="68" spans="1:10" s="97" customFormat="1" ht="93" customHeight="1" thickBot="1" x14ac:dyDescent="0.3">
      <c r="A68" s="145" t="s">
        <v>279</v>
      </c>
      <c r="B68" s="127" t="s">
        <v>280</v>
      </c>
      <c r="C68" s="125">
        <v>2013</v>
      </c>
      <c r="D68" s="125">
        <v>2020</v>
      </c>
      <c r="E68" s="125">
        <v>2013</v>
      </c>
      <c r="F68" s="125" t="s">
        <v>61</v>
      </c>
      <c r="G68" s="453"/>
      <c r="H68" s="453"/>
      <c r="I68" s="126"/>
      <c r="J68" s="143"/>
    </row>
    <row r="69" spans="1:10" s="97" customFormat="1" ht="30.75" customHeight="1" thickBot="1" x14ac:dyDescent="0.3">
      <c r="A69" s="103" t="s">
        <v>281</v>
      </c>
      <c r="B69" s="454" t="s">
        <v>282</v>
      </c>
      <c r="C69" s="455"/>
      <c r="D69" s="455"/>
      <c r="E69" s="455"/>
      <c r="F69" s="455"/>
      <c r="G69" s="455"/>
      <c r="H69" s="455"/>
      <c r="I69" s="456"/>
    </row>
    <row r="70" spans="1:10" s="97" customFormat="1" ht="409.6" thickBot="1" x14ac:dyDescent="0.3">
      <c r="A70" s="137" t="s">
        <v>283</v>
      </c>
      <c r="B70" s="127" t="s">
        <v>284</v>
      </c>
      <c r="C70" s="139">
        <v>2013</v>
      </c>
      <c r="D70" s="125">
        <v>2020</v>
      </c>
      <c r="E70" s="125">
        <v>2013</v>
      </c>
      <c r="F70" s="125" t="s">
        <v>61</v>
      </c>
      <c r="G70" s="146" t="s">
        <v>285</v>
      </c>
      <c r="H70" s="147" t="s">
        <v>286</v>
      </c>
      <c r="I70" s="126"/>
    </row>
    <row r="71" spans="1:10" s="97" customFormat="1" ht="30" customHeight="1" thickBot="1" x14ac:dyDescent="0.3">
      <c r="A71" s="103" t="s">
        <v>287</v>
      </c>
      <c r="B71" s="457" t="s">
        <v>288</v>
      </c>
      <c r="C71" s="458"/>
      <c r="D71" s="458"/>
      <c r="E71" s="458"/>
      <c r="F71" s="458"/>
      <c r="G71" s="458"/>
      <c r="H71" s="458"/>
      <c r="I71" s="459"/>
    </row>
    <row r="72" spans="1:10" s="97" customFormat="1" ht="85.5" customHeight="1" x14ac:dyDescent="0.25">
      <c r="A72" s="148" t="s">
        <v>289</v>
      </c>
      <c r="B72" s="114" t="s">
        <v>290</v>
      </c>
      <c r="C72" s="115">
        <v>2013</v>
      </c>
      <c r="D72" s="115">
        <v>2020</v>
      </c>
      <c r="E72" s="115">
        <v>2013</v>
      </c>
      <c r="F72" s="115" t="s">
        <v>61</v>
      </c>
      <c r="G72" s="460" t="s">
        <v>291</v>
      </c>
      <c r="H72" s="460" t="s">
        <v>292</v>
      </c>
      <c r="I72" s="116"/>
    </row>
    <row r="73" spans="1:10" s="97" customFormat="1" ht="189" customHeight="1" thickBot="1" x14ac:dyDescent="0.3">
      <c r="A73" s="123" t="s">
        <v>293</v>
      </c>
      <c r="B73" s="127" t="s">
        <v>294</v>
      </c>
      <c r="C73" s="125">
        <v>2013</v>
      </c>
      <c r="D73" s="125">
        <v>2020</v>
      </c>
      <c r="E73" s="125">
        <v>2013</v>
      </c>
      <c r="F73" s="125" t="s">
        <v>61</v>
      </c>
      <c r="G73" s="461"/>
      <c r="H73" s="462"/>
      <c r="I73" s="126"/>
    </row>
    <row r="74" spans="1:10" s="97" customFormat="1" ht="158.25" customHeight="1" thickBot="1" x14ac:dyDescent="0.3">
      <c r="A74" s="149" t="s">
        <v>295</v>
      </c>
      <c r="B74" s="150" t="s">
        <v>296</v>
      </c>
      <c r="C74" s="105">
        <v>2013</v>
      </c>
      <c r="D74" s="105">
        <v>2016</v>
      </c>
      <c r="E74" s="105">
        <v>2013</v>
      </c>
      <c r="F74" s="105" t="s">
        <v>61</v>
      </c>
      <c r="G74" s="151" t="s">
        <v>297</v>
      </c>
      <c r="H74" s="105"/>
      <c r="I74" s="381" t="s">
        <v>462</v>
      </c>
    </row>
    <row r="75" spans="1:10" s="97" customFormat="1" ht="15.75" x14ac:dyDescent="0.25">
      <c r="A75" s="152"/>
      <c r="B75" s="463" t="s">
        <v>465</v>
      </c>
      <c r="C75" s="463"/>
      <c r="D75" s="463"/>
      <c r="E75" s="463"/>
      <c r="F75" s="463"/>
      <c r="G75" s="463"/>
      <c r="H75" s="152"/>
      <c r="I75" s="152"/>
    </row>
    <row r="76" spans="1:10" s="97" customFormat="1" ht="15.75" x14ac:dyDescent="0.25">
      <c r="A76" s="152"/>
      <c r="B76" s="152"/>
      <c r="C76" s="152"/>
      <c r="D76" s="152"/>
      <c r="E76" s="152"/>
      <c r="F76" s="152"/>
      <c r="G76" s="152"/>
      <c r="H76" s="152"/>
      <c r="I76" s="152"/>
    </row>
    <row r="77" spans="1:10" s="97" customFormat="1" ht="50.25" customHeight="1" x14ac:dyDescent="0.25">
      <c r="B77" s="448"/>
      <c r="C77" s="449"/>
      <c r="D77" s="153"/>
      <c r="E77" s="154"/>
      <c r="F77" s="155"/>
      <c r="G77" s="152"/>
      <c r="H77" s="450"/>
      <c r="I77" s="450"/>
    </row>
    <row r="78" spans="1:10" s="97" customFormat="1" ht="15.75" x14ac:dyDescent="0.25">
      <c r="B78" s="153"/>
      <c r="C78" s="156"/>
      <c r="D78" s="156"/>
      <c r="E78" s="156"/>
      <c r="F78" s="156"/>
      <c r="G78" s="152"/>
      <c r="H78" s="152"/>
      <c r="I78" s="152"/>
    </row>
    <row r="79" spans="1:10" s="97" customFormat="1" ht="15.75" x14ac:dyDescent="0.25">
      <c r="G79" s="152"/>
      <c r="H79" s="152"/>
      <c r="I79" s="152"/>
    </row>
    <row r="80" spans="1:10" s="97" customFormat="1" ht="15.75" x14ac:dyDescent="0.25">
      <c r="A80" s="152"/>
      <c r="B80" s="152"/>
      <c r="C80" s="152"/>
      <c r="D80" s="152"/>
      <c r="E80" s="152"/>
      <c r="F80" s="152"/>
      <c r="G80" s="152"/>
      <c r="H80" s="152"/>
      <c r="I80" s="152"/>
    </row>
    <row r="81" spans="1:9" s="97" customFormat="1" ht="15.75" x14ac:dyDescent="0.25">
      <c r="A81" s="152"/>
      <c r="B81" s="152"/>
      <c r="C81" s="152"/>
      <c r="D81" s="152"/>
      <c r="E81" s="152"/>
      <c r="F81" s="152"/>
      <c r="G81" s="152"/>
      <c r="H81" s="152"/>
      <c r="I81" s="152"/>
    </row>
    <row r="82" spans="1:9" s="97" customFormat="1" ht="15.75" x14ac:dyDescent="0.25">
      <c r="A82" s="152"/>
      <c r="B82" s="152"/>
      <c r="C82" s="152"/>
      <c r="D82" s="152"/>
      <c r="E82" s="152"/>
      <c r="F82" s="152"/>
      <c r="G82" s="152"/>
      <c r="H82" s="152"/>
      <c r="I82" s="152"/>
    </row>
    <row r="83" spans="1:9" s="97" customFormat="1" ht="15.75" x14ac:dyDescent="0.25">
      <c r="A83" s="152"/>
      <c r="B83" s="152"/>
      <c r="C83" s="152"/>
      <c r="D83" s="152"/>
      <c r="E83" s="152"/>
      <c r="F83" s="152"/>
      <c r="G83" s="152"/>
      <c r="H83" s="152"/>
      <c r="I83" s="152"/>
    </row>
    <row r="84" spans="1:9" s="97" customFormat="1" ht="15.75" x14ac:dyDescent="0.25">
      <c r="A84" s="152"/>
      <c r="B84" s="153"/>
      <c r="C84" s="152"/>
      <c r="D84" s="152"/>
      <c r="E84" s="152"/>
      <c r="F84" s="152"/>
      <c r="G84" s="152"/>
      <c r="H84" s="152"/>
      <c r="I84" s="152"/>
    </row>
    <row r="85" spans="1:9" s="97" customFormat="1" ht="15.75" x14ac:dyDescent="0.25">
      <c r="A85" s="152"/>
      <c r="B85" s="157"/>
      <c r="C85" s="152"/>
      <c r="D85" s="152"/>
      <c r="E85" s="152"/>
      <c r="F85" s="152"/>
      <c r="G85" s="152"/>
      <c r="H85" s="152"/>
      <c r="I85" s="152"/>
    </row>
    <row r="86" spans="1:9" s="97" customFormat="1" ht="15.75" x14ac:dyDescent="0.25">
      <c r="A86" s="152"/>
      <c r="B86" s="152"/>
      <c r="C86" s="152"/>
      <c r="D86" s="152"/>
      <c r="E86" s="152"/>
      <c r="F86" s="152"/>
      <c r="G86" s="152"/>
      <c r="H86" s="152"/>
      <c r="I86" s="152"/>
    </row>
    <row r="87" spans="1:9" s="97" customFormat="1" ht="15.75" x14ac:dyDescent="0.25">
      <c r="A87" s="152"/>
      <c r="B87" s="152"/>
      <c r="C87" s="152"/>
      <c r="D87" s="152"/>
      <c r="E87" s="152"/>
      <c r="F87" s="152"/>
      <c r="G87" s="152"/>
      <c r="H87" s="152"/>
      <c r="I87" s="152"/>
    </row>
    <row r="88" spans="1:9" s="97" customFormat="1" ht="15.75" x14ac:dyDescent="0.25">
      <c r="A88" s="152"/>
      <c r="B88" s="152"/>
      <c r="C88" s="152"/>
      <c r="D88" s="152"/>
      <c r="E88" s="152"/>
      <c r="F88" s="152"/>
      <c r="G88" s="152"/>
      <c r="H88" s="152"/>
      <c r="I88" s="152"/>
    </row>
    <row r="89" spans="1:9" s="97" customFormat="1" ht="15.75" x14ac:dyDescent="0.25">
      <c r="A89" s="152"/>
      <c r="B89" s="152"/>
      <c r="C89" s="152"/>
      <c r="D89" s="152"/>
      <c r="E89" s="152"/>
      <c r="F89" s="152"/>
      <c r="G89" s="152"/>
      <c r="H89" s="152"/>
      <c r="I89" s="152"/>
    </row>
    <row r="90" spans="1:9" s="97" customFormat="1" ht="15.75" x14ac:dyDescent="0.25">
      <c r="A90" s="152"/>
      <c r="B90" s="152"/>
      <c r="C90" s="152"/>
      <c r="D90" s="152"/>
      <c r="E90" s="152"/>
      <c r="F90" s="152"/>
      <c r="G90" s="152"/>
      <c r="H90" s="152"/>
      <c r="I90" s="152"/>
    </row>
    <row r="91" spans="1:9" s="97" customFormat="1" ht="15.75" x14ac:dyDescent="0.25">
      <c r="A91" s="152"/>
      <c r="B91" s="152"/>
      <c r="C91" s="152"/>
      <c r="D91" s="152"/>
      <c r="E91" s="152"/>
      <c r="F91" s="152"/>
      <c r="G91" s="152"/>
      <c r="H91" s="152"/>
      <c r="I91" s="152"/>
    </row>
    <row r="92" spans="1:9" s="97" customFormat="1" ht="15.75" x14ac:dyDescent="0.25">
      <c r="A92" s="152"/>
      <c r="B92" s="152"/>
      <c r="C92" s="152"/>
      <c r="D92" s="152"/>
      <c r="E92" s="152"/>
      <c r="F92" s="152"/>
      <c r="G92" s="152"/>
      <c r="H92" s="152"/>
      <c r="I92" s="152"/>
    </row>
    <row r="93" spans="1:9" s="97" customFormat="1" ht="15.75" x14ac:dyDescent="0.25">
      <c r="A93" s="152"/>
      <c r="B93" s="152"/>
      <c r="C93" s="152"/>
      <c r="D93" s="152"/>
      <c r="E93" s="152"/>
      <c r="F93" s="152"/>
      <c r="G93" s="152"/>
      <c r="H93" s="152"/>
      <c r="I93" s="152"/>
    </row>
    <row r="94" spans="1:9" s="97" customFormat="1" ht="15.75" x14ac:dyDescent="0.25">
      <c r="A94" s="152"/>
      <c r="C94" s="152"/>
      <c r="D94" s="152"/>
      <c r="E94" s="152"/>
      <c r="F94" s="152"/>
      <c r="G94" s="152"/>
      <c r="H94" s="152"/>
      <c r="I94" s="152"/>
    </row>
    <row r="95" spans="1:9" s="97" customFormat="1" ht="15.75" x14ac:dyDescent="0.25">
      <c r="A95" s="152"/>
      <c r="C95" s="152"/>
      <c r="D95" s="152"/>
      <c r="E95" s="152"/>
      <c r="F95" s="152"/>
      <c r="G95" s="152"/>
      <c r="H95" s="152"/>
      <c r="I95" s="152"/>
    </row>
    <row r="96" spans="1:9" s="97" customFormat="1" ht="15.75" x14ac:dyDescent="0.25">
      <c r="A96" s="152"/>
      <c r="C96" s="152"/>
      <c r="D96" s="152"/>
      <c r="E96" s="152"/>
      <c r="F96" s="152"/>
      <c r="G96" s="152"/>
      <c r="H96" s="152"/>
      <c r="I96" s="152"/>
    </row>
    <row r="97" spans="1:9" s="97" customFormat="1" ht="15.75" x14ac:dyDescent="0.25">
      <c r="A97" s="152"/>
      <c r="B97" s="152"/>
      <c r="C97" s="152"/>
      <c r="D97" s="152"/>
      <c r="E97" s="152"/>
      <c r="F97" s="152"/>
      <c r="G97" s="152"/>
      <c r="H97" s="152"/>
      <c r="I97" s="152"/>
    </row>
    <row r="98" spans="1:9" s="97" customFormat="1" ht="15.75" x14ac:dyDescent="0.25">
      <c r="A98" s="152"/>
      <c r="B98" s="152"/>
      <c r="C98" s="152"/>
      <c r="D98" s="152"/>
      <c r="E98" s="152"/>
      <c r="F98" s="152"/>
      <c r="G98" s="152"/>
      <c r="H98" s="152"/>
      <c r="I98" s="152"/>
    </row>
    <row r="99" spans="1:9" s="97" customFormat="1" ht="15.75" x14ac:dyDescent="0.25">
      <c r="A99" s="152"/>
      <c r="B99" s="152"/>
      <c r="C99" s="152"/>
      <c r="D99" s="152"/>
      <c r="E99" s="152"/>
      <c r="F99" s="152"/>
      <c r="G99" s="152"/>
      <c r="H99" s="152"/>
      <c r="I99" s="152"/>
    </row>
    <row r="100" spans="1:9" s="97" customFormat="1" ht="15.75" x14ac:dyDescent="0.25">
      <c r="A100" s="152"/>
      <c r="B100" s="152"/>
      <c r="C100" s="152"/>
      <c r="D100" s="152"/>
      <c r="E100" s="152"/>
      <c r="F100" s="152"/>
      <c r="G100" s="152"/>
      <c r="H100" s="152"/>
      <c r="I100" s="152"/>
    </row>
    <row r="101" spans="1:9" s="97" customFormat="1" ht="15.75" x14ac:dyDescent="0.25">
      <c r="A101" s="152"/>
      <c r="B101" s="152"/>
      <c r="C101" s="152"/>
      <c r="D101" s="152"/>
      <c r="E101" s="152"/>
      <c r="F101" s="152"/>
      <c r="G101" s="152"/>
      <c r="H101" s="152"/>
      <c r="I101" s="152"/>
    </row>
    <row r="102" spans="1:9" s="97" customFormat="1" ht="15.75" x14ac:dyDescent="0.25">
      <c r="A102" s="152"/>
      <c r="B102" s="152"/>
      <c r="C102" s="152"/>
      <c r="D102" s="152"/>
      <c r="E102" s="152"/>
      <c r="F102" s="152"/>
      <c r="G102" s="152"/>
      <c r="H102" s="152"/>
      <c r="I102" s="152"/>
    </row>
    <row r="103" spans="1:9" s="97" customFormat="1" ht="15.75" x14ac:dyDescent="0.25">
      <c r="A103" s="152"/>
      <c r="B103" s="152"/>
      <c r="C103" s="152"/>
      <c r="D103" s="152"/>
      <c r="E103" s="152"/>
      <c r="F103" s="152"/>
      <c r="G103" s="152"/>
      <c r="H103" s="152"/>
      <c r="I103" s="152"/>
    </row>
    <row r="104" spans="1:9" s="97" customFormat="1" ht="15.75" x14ac:dyDescent="0.25">
      <c r="A104" s="152"/>
      <c r="B104" s="152"/>
      <c r="C104" s="152"/>
      <c r="D104" s="152"/>
      <c r="E104" s="152"/>
      <c r="F104" s="152"/>
      <c r="G104" s="152"/>
      <c r="H104" s="152"/>
      <c r="I104" s="152"/>
    </row>
    <row r="105" spans="1:9" s="97" customFormat="1" ht="15.75" x14ac:dyDescent="0.25">
      <c r="A105" s="152"/>
      <c r="B105" s="152"/>
      <c r="C105" s="152"/>
      <c r="D105" s="152"/>
      <c r="E105" s="152"/>
      <c r="F105" s="152"/>
      <c r="G105" s="152"/>
      <c r="H105" s="152"/>
      <c r="I105" s="152"/>
    </row>
    <row r="106" spans="1:9" s="97" customFormat="1" ht="15.75" x14ac:dyDescent="0.25">
      <c r="A106" s="152"/>
      <c r="B106" s="152"/>
      <c r="C106" s="152"/>
      <c r="D106" s="152"/>
      <c r="E106" s="152"/>
      <c r="F106" s="152"/>
      <c r="G106" s="152"/>
      <c r="H106" s="152"/>
      <c r="I106" s="152"/>
    </row>
    <row r="107" spans="1:9" s="97" customFormat="1" ht="15.75" x14ac:dyDescent="0.25">
      <c r="A107" s="152"/>
      <c r="B107" s="152"/>
      <c r="C107" s="152"/>
      <c r="D107" s="152"/>
      <c r="E107" s="152"/>
      <c r="F107" s="152"/>
      <c r="G107" s="152"/>
      <c r="H107" s="152"/>
      <c r="I107" s="152"/>
    </row>
    <row r="108" spans="1:9" s="97" customFormat="1" ht="15.75" x14ac:dyDescent="0.25">
      <c r="A108" s="152"/>
      <c r="B108" s="152"/>
      <c r="C108" s="152"/>
      <c r="D108" s="152"/>
      <c r="E108" s="152"/>
      <c r="F108" s="152"/>
      <c r="G108" s="152"/>
      <c r="H108" s="152"/>
      <c r="I108" s="152"/>
    </row>
    <row r="109" spans="1:9" s="97" customFormat="1" ht="15.75" x14ac:dyDescent="0.25">
      <c r="A109" s="152"/>
      <c r="B109" s="152"/>
      <c r="C109" s="152"/>
      <c r="D109" s="152"/>
      <c r="E109" s="152"/>
      <c r="F109" s="152"/>
      <c r="G109" s="152"/>
      <c r="H109" s="152"/>
      <c r="I109" s="152"/>
    </row>
    <row r="110" spans="1:9" s="97" customFormat="1" ht="15.75" x14ac:dyDescent="0.25">
      <c r="A110" s="152"/>
      <c r="B110" s="152"/>
      <c r="C110" s="152"/>
      <c r="D110" s="152"/>
      <c r="E110" s="152"/>
      <c r="F110" s="152"/>
      <c r="G110" s="152"/>
      <c r="H110" s="152"/>
      <c r="I110" s="152"/>
    </row>
    <row r="111" spans="1:9" s="97" customFormat="1" ht="15.75" x14ac:dyDescent="0.25">
      <c r="A111" s="152"/>
      <c r="B111" s="152"/>
      <c r="C111" s="152"/>
      <c r="D111" s="152"/>
      <c r="E111" s="152"/>
      <c r="F111" s="152"/>
      <c r="G111" s="152"/>
      <c r="H111" s="152"/>
      <c r="I111" s="152"/>
    </row>
    <row r="112" spans="1:9" s="97" customFormat="1" ht="15.75" x14ac:dyDescent="0.25">
      <c r="A112" s="152"/>
      <c r="B112" s="152"/>
      <c r="C112" s="152"/>
      <c r="D112" s="152"/>
      <c r="E112" s="152"/>
      <c r="F112" s="152"/>
      <c r="G112" s="152"/>
      <c r="H112" s="152"/>
      <c r="I112" s="152"/>
    </row>
    <row r="113" spans="1:9" s="97" customFormat="1" ht="15.75" x14ac:dyDescent="0.25">
      <c r="A113" s="152"/>
      <c r="B113" s="152"/>
      <c r="C113" s="152"/>
      <c r="D113" s="152"/>
      <c r="E113" s="152"/>
      <c r="F113" s="152"/>
      <c r="G113" s="152"/>
      <c r="H113" s="152"/>
      <c r="I113" s="152"/>
    </row>
    <row r="114" spans="1:9" s="97" customFormat="1" ht="15.75" x14ac:dyDescent="0.25">
      <c r="A114" s="152"/>
      <c r="B114" s="152"/>
      <c r="C114" s="152"/>
      <c r="D114" s="152"/>
      <c r="E114" s="152"/>
      <c r="F114" s="152"/>
      <c r="G114" s="152"/>
      <c r="H114" s="152"/>
      <c r="I114" s="152"/>
    </row>
    <row r="115" spans="1:9" s="97" customFormat="1" ht="15.75" x14ac:dyDescent="0.25">
      <c r="A115" s="152"/>
      <c r="B115" s="152"/>
      <c r="C115" s="152"/>
      <c r="D115" s="152"/>
      <c r="E115" s="152"/>
      <c r="F115" s="152"/>
      <c r="G115" s="152"/>
      <c r="H115" s="152"/>
      <c r="I115" s="152"/>
    </row>
    <row r="116" spans="1:9" s="97" customFormat="1" ht="15.75" x14ac:dyDescent="0.25">
      <c r="A116" s="152"/>
      <c r="B116" s="152"/>
      <c r="C116" s="152"/>
      <c r="D116" s="152"/>
      <c r="E116" s="152"/>
      <c r="F116" s="152"/>
      <c r="G116" s="152"/>
      <c r="H116" s="152"/>
      <c r="I116" s="152"/>
    </row>
    <row r="117" spans="1:9" s="97" customFormat="1" ht="15.75" x14ac:dyDescent="0.25">
      <c r="A117" s="152"/>
      <c r="B117" s="152"/>
      <c r="C117" s="152"/>
      <c r="D117" s="152"/>
      <c r="E117" s="152"/>
      <c r="F117" s="152"/>
      <c r="G117" s="152"/>
      <c r="H117" s="152"/>
      <c r="I117" s="152"/>
    </row>
    <row r="118" spans="1:9" s="97" customFormat="1" ht="15.75" x14ac:dyDescent="0.25">
      <c r="A118" s="152"/>
      <c r="B118" s="152"/>
      <c r="C118" s="152"/>
      <c r="D118" s="152"/>
      <c r="E118" s="152"/>
      <c r="F118" s="152"/>
      <c r="G118" s="152"/>
      <c r="H118" s="152"/>
      <c r="I118" s="152"/>
    </row>
    <row r="119" spans="1:9" s="97" customFormat="1" ht="15.75" x14ac:dyDescent="0.25">
      <c r="A119" s="152"/>
      <c r="B119" s="152"/>
      <c r="C119" s="152"/>
      <c r="D119" s="152"/>
      <c r="E119" s="152"/>
      <c r="F119" s="152"/>
      <c r="G119" s="152"/>
      <c r="H119" s="152"/>
      <c r="I119" s="152"/>
    </row>
    <row r="120" spans="1:9" s="97" customFormat="1" ht="15.75" x14ac:dyDescent="0.25">
      <c r="A120" s="152"/>
      <c r="B120" s="152"/>
      <c r="C120" s="152"/>
      <c r="D120" s="152"/>
      <c r="E120" s="152"/>
      <c r="F120" s="152"/>
      <c r="G120" s="152"/>
      <c r="H120" s="152"/>
      <c r="I120" s="152"/>
    </row>
    <row r="121" spans="1:9" s="97" customFormat="1" ht="15.75" x14ac:dyDescent="0.25">
      <c r="A121" s="152"/>
      <c r="B121" s="152"/>
      <c r="C121" s="152"/>
      <c r="D121" s="152"/>
      <c r="E121" s="152"/>
      <c r="F121" s="152"/>
      <c r="G121" s="152"/>
      <c r="H121" s="152"/>
      <c r="I121" s="152"/>
    </row>
    <row r="122" spans="1:9" s="97" customFormat="1" ht="15.75" x14ac:dyDescent="0.25">
      <c r="A122" s="152"/>
      <c r="B122" s="152"/>
      <c r="C122" s="152"/>
      <c r="D122" s="152"/>
      <c r="E122" s="152"/>
      <c r="F122" s="152"/>
      <c r="G122" s="152"/>
      <c r="H122" s="152"/>
      <c r="I122" s="152"/>
    </row>
    <row r="123" spans="1:9" s="97" customFormat="1" ht="15.75" x14ac:dyDescent="0.25">
      <c r="A123" s="152"/>
      <c r="B123" s="152"/>
      <c r="C123" s="152"/>
      <c r="D123" s="152"/>
      <c r="E123" s="152"/>
      <c r="F123" s="152"/>
      <c r="G123" s="152"/>
      <c r="H123" s="152"/>
      <c r="I123" s="152"/>
    </row>
    <row r="124" spans="1:9" s="97" customFormat="1" ht="15.75" x14ac:dyDescent="0.25">
      <c r="A124" s="152"/>
      <c r="B124" s="152"/>
      <c r="C124" s="152"/>
      <c r="D124" s="152"/>
      <c r="E124" s="152"/>
      <c r="F124" s="152"/>
      <c r="G124" s="152"/>
      <c r="H124" s="152"/>
      <c r="I124" s="152"/>
    </row>
    <row r="125" spans="1:9" s="97" customFormat="1" ht="15.75" x14ac:dyDescent="0.25">
      <c r="A125" s="152"/>
      <c r="B125" s="152"/>
      <c r="C125" s="152"/>
      <c r="D125" s="152"/>
      <c r="E125" s="152"/>
      <c r="F125" s="152"/>
      <c r="G125" s="152"/>
      <c r="H125" s="152"/>
      <c r="I125" s="152"/>
    </row>
    <row r="126" spans="1:9" s="97" customFormat="1" ht="15.75" x14ac:dyDescent="0.25">
      <c r="A126" s="152"/>
      <c r="B126" s="152"/>
      <c r="C126" s="152"/>
      <c r="D126" s="152"/>
      <c r="E126" s="152"/>
      <c r="F126" s="152"/>
      <c r="G126" s="152"/>
      <c r="H126" s="152"/>
      <c r="I126" s="152"/>
    </row>
    <row r="127" spans="1:9" s="97" customFormat="1" ht="15.75" x14ac:dyDescent="0.25">
      <c r="A127" s="152"/>
      <c r="B127" s="152"/>
      <c r="C127" s="152"/>
      <c r="D127" s="152"/>
      <c r="E127" s="152"/>
      <c r="F127" s="152"/>
      <c r="G127" s="152"/>
      <c r="H127" s="152"/>
      <c r="I127" s="152"/>
    </row>
    <row r="128" spans="1:9" s="97" customFormat="1" ht="15.75" x14ac:dyDescent="0.25">
      <c r="A128" s="152"/>
      <c r="B128" s="152"/>
      <c r="C128" s="152"/>
      <c r="D128" s="152"/>
      <c r="E128" s="152"/>
      <c r="F128" s="152"/>
      <c r="G128" s="152"/>
      <c r="H128" s="152"/>
      <c r="I128" s="152"/>
    </row>
    <row r="129" spans="1:9" s="97" customFormat="1" ht="15.75" x14ac:dyDescent="0.25">
      <c r="A129" s="152"/>
      <c r="B129" s="152"/>
      <c r="C129" s="152"/>
      <c r="D129" s="152"/>
      <c r="E129" s="152"/>
      <c r="F129" s="152"/>
      <c r="G129" s="152"/>
      <c r="H129" s="152"/>
      <c r="I129" s="152"/>
    </row>
    <row r="130" spans="1:9" s="97" customFormat="1" ht="15.75" x14ac:dyDescent="0.25">
      <c r="A130" s="152"/>
      <c r="B130" s="152"/>
      <c r="C130" s="152"/>
      <c r="D130" s="152"/>
      <c r="E130" s="152"/>
      <c r="F130" s="152"/>
      <c r="G130" s="152"/>
      <c r="H130" s="152"/>
      <c r="I130" s="152"/>
    </row>
    <row r="131" spans="1:9" s="97" customFormat="1" ht="15.75" x14ac:dyDescent="0.25">
      <c r="A131" s="152"/>
      <c r="B131" s="152"/>
      <c r="C131" s="152"/>
      <c r="D131" s="152"/>
      <c r="E131" s="152"/>
      <c r="F131" s="152"/>
      <c r="G131" s="152"/>
      <c r="H131" s="152"/>
      <c r="I131" s="152"/>
    </row>
    <row r="132" spans="1:9" s="97" customFormat="1" ht="15.75" x14ac:dyDescent="0.25">
      <c r="A132" s="152"/>
      <c r="B132" s="152"/>
      <c r="C132" s="152"/>
      <c r="D132" s="152"/>
      <c r="E132" s="152"/>
      <c r="F132" s="152"/>
      <c r="G132" s="152"/>
      <c r="H132" s="152"/>
      <c r="I132" s="152"/>
    </row>
    <row r="133" spans="1:9" s="97" customFormat="1" ht="15.75" x14ac:dyDescent="0.25">
      <c r="A133" s="152"/>
      <c r="B133" s="152"/>
      <c r="C133" s="152"/>
      <c r="D133" s="152"/>
      <c r="E133" s="152"/>
      <c r="F133" s="152"/>
      <c r="G133" s="152"/>
      <c r="H133" s="152"/>
      <c r="I133" s="152"/>
    </row>
    <row r="134" spans="1:9" s="97" customFormat="1" ht="15.75" x14ac:dyDescent="0.25">
      <c r="A134" s="152"/>
      <c r="B134" s="152"/>
      <c r="C134" s="152"/>
      <c r="D134" s="152"/>
      <c r="E134" s="152"/>
      <c r="F134" s="152"/>
      <c r="G134" s="152"/>
      <c r="H134" s="152"/>
      <c r="I134" s="152"/>
    </row>
    <row r="135" spans="1:9" s="97" customFormat="1" ht="15.75" x14ac:dyDescent="0.25">
      <c r="A135" s="152"/>
      <c r="B135" s="152"/>
      <c r="C135" s="152"/>
      <c r="D135" s="152"/>
      <c r="E135" s="152"/>
      <c r="F135" s="152"/>
      <c r="G135" s="152"/>
      <c r="H135" s="152"/>
      <c r="I135" s="152"/>
    </row>
    <row r="136" spans="1:9" s="97" customFormat="1" ht="15.75" x14ac:dyDescent="0.25">
      <c r="A136" s="152"/>
      <c r="B136" s="152"/>
      <c r="C136" s="152"/>
      <c r="D136" s="152"/>
      <c r="E136" s="152"/>
      <c r="F136" s="152"/>
      <c r="G136" s="152"/>
      <c r="H136" s="152"/>
      <c r="I136" s="152"/>
    </row>
    <row r="137" spans="1:9" s="97" customFormat="1" ht="15.75" x14ac:dyDescent="0.25">
      <c r="A137" s="152"/>
      <c r="B137" s="152"/>
      <c r="C137" s="152"/>
      <c r="D137" s="152"/>
      <c r="E137" s="152"/>
      <c r="F137" s="152"/>
      <c r="G137" s="152"/>
      <c r="H137" s="152"/>
      <c r="I137" s="152"/>
    </row>
    <row r="138" spans="1:9" s="97" customFormat="1" ht="15.75" x14ac:dyDescent="0.25">
      <c r="A138" s="152"/>
      <c r="B138" s="152"/>
      <c r="C138" s="152"/>
      <c r="D138" s="152"/>
      <c r="E138" s="152"/>
      <c r="F138" s="152"/>
      <c r="G138" s="152"/>
      <c r="H138" s="152"/>
      <c r="I138" s="152"/>
    </row>
    <row r="139" spans="1:9" s="97" customFormat="1" ht="15.75" x14ac:dyDescent="0.25">
      <c r="A139" s="152"/>
      <c r="B139" s="152"/>
      <c r="C139" s="152"/>
      <c r="D139" s="152"/>
      <c r="E139" s="152"/>
      <c r="F139" s="152"/>
      <c r="G139" s="152"/>
      <c r="H139" s="152"/>
      <c r="I139" s="152"/>
    </row>
    <row r="140" spans="1:9" s="97" customFormat="1" ht="15.75" x14ac:dyDescent="0.25">
      <c r="A140" s="152"/>
      <c r="B140" s="152"/>
      <c r="C140" s="152"/>
      <c r="D140" s="152"/>
      <c r="E140" s="152"/>
      <c r="F140" s="152"/>
      <c r="G140" s="152"/>
      <c r="H140" s="152"/>
      <c r="I140" s="152"/>
    </row>
    <row r="141" spans="1:9" s="97" customFormat="1" ht="15.75" x14ac:dyDescent="0.25">
      <c r="A141" s="152"/>
      <c r="B141" s="152"/>
      <c r="C141" s="152"/>
      <c r="D141" s="152"/>
      <c r="E141" s="152"/>
      <c r="F141" s="152"/>
      <c r="G141" s="152"/>
      <c r="H141" s="152"/>
      <c r="I141" s="152"/>
    </row>
    <row r="142" spans="1:9" s="97" customFormat="1" ht="15.75" x14ac:dyDescent="0.25">
      <c r="A142" s="152"/>
      <c r="B142" s="152"/>
      <c r="C142" s="152"/>
      <c r="D142" s="152"/>
      <c r="E142" s="152"/>
      <c r="F142" s="152"/>
      <c r="G142" s="152"/>
      <c r="H142" s="152"/>
      <c r="I142" s="152"/>
    </row>
    <row r="143" spans="1:9" s="97" customFormat="1" ht="15.75" x14ac:dyDescent="0.25">
      <c r="A143" s="152"/>
      <c r="B143" s="152"/>
      <c r="C143" s="152"/>
      <c r="D143" s="152"/>
      <c r="E143" s="152"/>
      <c r="F143" s="152"/>
      <c r="G143" s="152"/>
      <c r="H143" s="152"/>
      <c r="I143" s="152"/>
    </row>
    <row r="144" spans="1:9" s="97" customFormat="1" ht="15.75" x14ac:dyDescent="0.25">
      <c r="A144" s="152"/>
      <c r="B144" s="152"/>
      <c r="C144" s="152"/>
      <c r="D144" s="152"/>
      <c r="E144" s="152"/>
      <c r="F144" s="152"/>
      <c r="G144" s="152"/>
      <c r="H144" s="152"/>
      <c r="I144" s="152"/>
    </row>
    <row r="145" spans="1:9" s="97" customFormat="1" ht="15.75" x14ac:dyDescent="0.25">
      <c r="A145" s="152"/>
      <c r="B145" s="152"/>
      <c r="C145" s="152"/>
      <c r="D145" s="152"/>
      <c r="E145" s="152"/>
      <c r="F145" s="152"/>
      <c r="G145" s="152"/>
      <c r="H145" s="152"/>
      <c r="I145" s="152"/>
    </row>
    <row r="146" spans="1:9" s="97" customFormat="1" ht="15.75" x14ac:dyDescent="0.25">
      <c r="A146" s="152"/>
      <c r="B146" s="152"/>
      <c r="C146" s="152"/>
      <c r="D146" s="152"/>
      <c r="E146" s="152"/>
      <c r="F146" s="152"/>
      <c r="G146" s="152"/>
      <c r="H146" s="152"/>
      <c r="I146" s="152"/>
    </row>
    <row r="147" spans="1:9" s="97" customFormat="1" ht="15.75" x14ac:dyDescent="0.25">
      <c r="A147" s="152"/>
      <c r="B147" s="152"/>
      <c r="C147" s="152"/>
      <c r="D147" s="152"/>
      <c r="E147" s="152"/>
      <c r="F147" s="152"/>
      <c r="G147" s="152"/>
      <c r="H147" s="152"/>
      <c r="I147" s="152"/>
    </row>
    <row r="148" spans="1:9" s="97" customFormat="1" ht="15.75" x14ac:dyDescent="0.25"/>
    <row r="149" spans="1:9" s="97" customFormat="1" ht="15.75" x14ac:dyDescent="0.25"/>
    <row r="150" spans="1:9" s="97" customFormat="1" ht="15.75" x14ac:dyDescent="0.25"/>
    <row r="151" spans="1:9" s="97" customFormat="1" ht="15.75" x14ac:dyDescent="0.25"/>
    <row r="152" spans="1:9" s="97" customFormat="1" ht="15.75" x14ac:dyDescent="0.25"/>
    <row r="153" spans="1:9" s="97" customFormat="1" ht="15.75" x14ac:dyDescent="0.25"/>
    <row r="154" spans="1:9" s="97" customFormat="1" ht="15.75" x14ac:dyDescent="0.25"/>
    <row r="155" spans="1:9" s="97" customFormat="1" ht="15.75" x14ac:dyDescent="0.25"/>
    <row r="156" spans="1:9" s="97" customFormat="1" ht="15.75" x14ac:dyDescent="0.25"/>
    <row r="157" spans="1:9" s="97" customFormat="1" ht="15.75" x14ac:dyDescent="0.25"/>
    <row r="158" spans="1:9" s="97" customFormat="1" ht="15.75" x14ac:dyDescent="0.25"/>
    <row r="159" spans="1:9" s="97" customFormat="1" ht="15.75" x14ac:dyDescent="0.25"/>
    <row r="160" spans="1:9" s="97" customFormat="1" ht="15.75" x14ac:dyDescent="0.25"/>
    <row r="161" s="97" customFormat="1" ht="15.75" x14ac:dyDescent="0.25"/>
    <row r="162" s="97" customFormat="1" ht="15.75" x14ac:dyDescent="0.25"/>
    <row r="163" s="97" customFormat="1" ht="15.75" x14ac:dyDescent="0.25"/>
    <row r="164" s="97" customFormat="1" ht="15.75" x14ac:dyDescent="0.25"/>
    <row r="165" s="97" customFormat="1" ht="15.75" x14ac:dyDescent="0.25"/>
    <row r="166" s="97" customFormat="1" ht="15.75" x14ac:dyDescent="0.25"/>
    <row r="167" s="97" customFormat="1" ht="15.75" x14ac:dyDescent="0.25"/>
    <row r="168" s="97" customFormat="1" ht="15.75" x14ac:dyDescent="0.25"/>
    <row r="169" s="97" customFormat="1" ht="15.75" x14ac:dyDescent="0.25"/>
    <row r="170" s="97" customFormat="1" ht="15.75" x14ac:dyDescent="0.25"/>
    <row r="171" s="97" customFormat="1" ht="15.75" x14ac:dyDescent="0.25"/>
    <row r="172" s="97" customFormat="1" ht="15.75" x14ac:dyDescent="0.25"/>
    <row r="173" s="97" customFormat="1" ht="15.75" x14ac:dyDescent="0.25"/>
    <row r="174" s="97" customFormat="1" ht="15.75" x14ac:dyDescent="0.25"/>
    <row r="175" s="97" customFormat="1" ht="15.75" x14ac:dyDescent="0.25"/>
    <row r="176" s="97" customFormat="1" ht="15.75" x14ac:dyDescent="0.25"/>
    <row r="177" s="97" customFormat="1" ht="15.75" x14ac:dyDescent="0.25"/>
    <row r="178" s="97" customFormat="1" ht="15.75" x14ac:dyDescent="0.25"/>
    <row r="179" s="97" customFormat="1" ht="15.75" x14ac:dyDescent="0.25"/>
    <row r="180" s="97" customFormat="1" ht="15.75" x14ac:dyDescent="0.25"/>
    <row r="181" s="97" customFormat="1" ht="15.75" x14ac:dyDescent="0.25"/>
    <row r="182" s="97" customFormat="1" ht="15.75" x14ac:dyDescent="0.25"/>
    <row r="183" s="97" customFormat="1" ht="15.75" x14ac:dyDescent="0.25"/>
    <row r="184" s="97" customFormat="1" ht="15.75" x14ac:dyDescent="0.25"/>
    <row r="185" s="97" customFormat="1" ht="15.75" x14ac:dyDescent="0.25"/>
    <row r="186" s="97" customFormat="1" ht="15.75" x14ac:dyDescent="0.25"/>
    <row r="187" s="97" customFormat="1" ht="15.75" x14ac:dyDescent="0.25"/>
    <row r="188" s="97" customFormat="1" ht="15.75" x14ac:dyDescent="0.25"/>
    <row r="189" s="97" customFormat="1" ht="15.75" x14ac:dyDescent="0.25"/>
    <row r="190" s="97" customFormat="1" ht="15.75" x14ac:dyDescent="0.25"/>
    <row r="191" s="97" customFormat="1" ht="15.75" x14ac:dyDescent="0.25"/>
    <row r="192" s="97" customFormat="1" ht="15.75" x14ac:dyDescent="0.25"/>
    <row r="193" s="97" customFormat="1" ht="15.75" x14ac:dyDescent="0.25"/>
    <row r="194" s="97" customFormat="1" ht="15.75" x14ac:dyDescent="0.25"/>
    <row r="195" s="97" customFormat="1" ht="15.75" x14ac:dyDescent="0.25"/>
    <row r="196" s="97" customFormat="1" ht="15.75" x14ac:dyDescent="0.25"/>
    <row r="197" s="97" customFormat="1" ht="15.75" x14ac:dyDescent="0.25"/>
  </sheetData>
  <mergeCells count="42">
    <mergeCell ref="A19:I19"/>
    <mergeCell ref="A14:I14"/>
    <mergeCell ref="A15:I15"/>
    <mergeCell ref="A16:I16"/>
    <mergeCell ref="A17:I17"/>
    <mergeCell ref="A18:I18"/>
    <mergeCell ref="G39:G42"/>
    <mergeCell ref="H39:H41"/>
    <mergeCell ref="A20:I20"/>
    <mergeCell ref="A21:A22"/>
    <mergeCell ref="B21:B22"/>
    <mergeCell ref="C21:D21"/>
    <mergeCell ref="E21:F21"/>
    <mergeCell ref="G21:H21"/>
    <mergeCell ref="I21:I22"/>
    <mergeCell ref="B26:I26"/>
    <mergeCell ref="G27:G37"/>
    <mergeCell ref="H28:H29"/>
    <mergeCell ref="H36:H37"/>
    <mergeCell ref="B38:I38"/>
    <mergeCell ref="I39:I40"/>
    <mergeCell ref="B65:I65"/>
    <mergeCell ref="B43:I43"/>
    <mergeCell ref="G44:G48"/>
    <mergeCell ref="H44:H48"/>
    <mergeCell ref="B49:I49"/>
    <mergeCell ref="G50:G52"/>
    <mergeCell ref="B53:I53"/>
    <mergeCell ref="G54:G60"/>
    <mergeCell ref="H54:H60"/>
    <mergeCell ref="B61:I61"/>
    <mergeCell ref="G62:G64"/>
    <mergeCell ref="H62:H64"/>
    <mergeCell ref="B77:C77"/>
    <mergeCell ref="H77:I77"/>
    <mergeCell ref="G66:G68"/>
    <mergeCell ref="H66:H68"/>
    <mergeCell ref="B69:I69"/>
    <mergeCell ref="B71:I71"/>
    <mergeCell ref="G72:G73"/>
    <mergeCell ref="H72:H73"/>
    <mergeCell ref="B75:G75"/>
  </mergeCells>
  <pageMargins left="0.19685039370078741" right="0.19685039370078741" top="0.19685039370078741" bottom="0.19685039370078741" header="0.15748031496062992" footer="0.15748031496062992"/>
  <pageSetup paperSize="9" scale="57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zoomScale="80" zoomScaleNormal="80" workbookViewId="0">
      <selection activeCell="C79" sqref="C79"/>
    </sheetView>
  </sheetViews>
  <sheetFormatPr defaultRowHeight="15" x14ac:dyDescent="0.25"/>
  <cols>
    <col min="1" max="1" width="7.7109375" customWidth="1"/>
    <col min="2" max="2" width="53.5703125" customWidth="1"/>
    <col min="3" max="3" width="19.5703125" customWidth="1"/>
    <col min="4" max="4" width="8.140625" customWidth="1"/>
    <col min="5" max="5" width="6.42578125" customWidth="1"/>
    <col min="6" max="6" width="14.5703125" customWidth="1"/>
    <col min="7" max="7" width="6.7109375" customWidth="1"/>
    <col min="8" max="8" width="16.42578125" customWidth="1"/>
    <col min="9" max="9" width="15.140625" customWidth="1"/>
    <col min="10" max="10" width="14.42578125" customWidth="1"/>
    <col min="11" max="11" width="10.5703125" customWidth="1"/>
  </cols>
  <sheetData>
    <row r="1" spans="1:10" ht="18.75" x14ac:dyDescent="0.3">
      <c r="I1" s="3" t="s">
        <v>387</v>
      </c>
    </row>
    <row r="2" spans="1:10" ht="18.75" x14ac:dyDescent="0.3">
      <c r="I2" s="3" t="s">
        <v>1</v>
      </c>
    </row>
    <row r="3" spans="1:10" ht="18.75" x14ac:dyDescent="0.3">
      <c r="I3" s="3" t="s">
        <v>2</v>
      </c>
    </row>
    <row r="4" spans="1:10" ht="18.75" x14ac:dyDescent="0.3">
      <c r="I4" s="3" t="s">
        <v>3</v>
      </c>
    </row>
    <row r="5" spans="1:10" ht="18.75" x14ac:dyDescent="0.3">
      <c r="I5" s="3" t="s">
        <v>4</v>
      </c>
    </row>
    <row r="6" spans="1:10" ht="18.75" x14ac:dyDescent="0.3">
      <c r="I6" s="3" t="s">
        <v>5</v>
      </c>
    </row>
    <row r="7" spans="1:10" ht="18.75" x14ac:dyDescent="0.3">
      <c r="I7" s="3" t="s">
        <v>6</v>
      </c>
    </row>
    <row r="8" spans="1:10" ht="18.75" x14ac:dyDescent="0.3">
      <c r="I8" s="3" t="s">
        <v>3</v>
      </c>
    </row>
    <row r="9" spans="1:10" ht="18.75" x14ac:dyDescent="0.25">
      <c r="I9" s="4" t="s">
        <v>7</v>
      </c>
    </row>
    <row r="10" spans="1:10" ht="18.75" x14ac:dyDescent="0.3">
      <c r="I10" s="3" t="s">
        <v>8</v>
      </c>
    </row>
    <row r="11" spans="1:10" ht="18.75" x14ac:dyDescent="0.3">
      <c r="I11" s="3" t="s">
        <v>9</v>
      </c>
    </row>
    <row r="12" spans="1:10" ht="18.75" x14ac:dyDescent="0.25">
      <c r="I12" s="4" t="s">
        <v>11</v>
      </c>
    </row>
    <row r="13" spans="1:10" ht="18.75" x14ac:dyDescent="0.3">
      <c r="A13" s="246" t="s">
        <v>10</v>
      </c>
      <c r="B13" s="245"/>
      <c r="C13" s="245"/>
      <c r="D13" s="245"/>
      <c r="E13" s="245"/>
      <c r="F13" s="245"/>
      <c r="G13" s="245"/>
      <c r="H13" s="245"/>
      <c r="I13" s="244"/>
    </row>
    <row r="14" spans="1:10" ht="51" customHeight="1" x14ac:dyDescent="0.25">
      <c r="A14" s="514" t="s">
        <v>404</v>
      </c>
      <c r="B14" s="515"/>
      <c r="C14" s="515"/>
      <c r="D14" s="515"/>
      <c r="E14" s="515"/>
      <c r="F14" s="515"/>
      <c r="G14" s="515"/>
      <c r="H14" s="515"/>
      <c r="I14" s="515"/>
      <c r="J14" s="515"/>
    </row>
    <row r="15" spans="1:10" ht="39.75" customHeight="1" x14ac:dyDescent="0.25">
      <c r="A15" s="503" t="s">
        <v>405</v>
      </c>
      <c r="B15" s="516"/>
      <c r="C15" s="516"/>
      <c r="D15" s="516"/>
      <c r="E15" s="516"/>
      <c r="F15" s="516"/>
      <c r="G15" s="516"/>
      <c r="H15" s="516"/>
      <c r="I15" s="516"/>
      <c r="J15" s="516"/>
    </row>
    <row r="16" spans="1:10" s="243" customFormat="1" ht="15.75" customHeight="1" x14ac:dyDescent="0.2">
      <c r="A16" s="517" t="s">
        <v>15</v>
      </c>
      <c r="B16" s="517"/>
      <c r="C16" s="517"/>
      <c r="D16" s="517"/>
      <c r="E16" s="517"/>
      <c r="F16" s="517"/>
      <c r="G16" s="517"/>
      <c r="H16" s="517"/>
      <c r="I16" s="517"/>
      <c r="J16" s="517"/>
    </row>
    <row r="17" spans="1:11" ht="18.75" x14ac:dyDescent="0.25">
      <c r="A17" s="398" t="s">
        <v>16</v>
      </c>
      <c r="B17" s="518"/>
      <c r="C17" s="518"/>
      <c r="D17" s="518"/>
      <c r="E17" s="518"/>
      <c r="F17" s="518"/>
      <c r="G17" s="518"/>
      <c r="H17" s="518"/>
      <c r="I17" s="518"/>
      <c r="J17" s="518"/>
    </row>
    <row r="18" spans="1:11" ht="8.25" customHeight="1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242"/>
    </row>
    <row r="19" spans="1:11" ht="43.5" customHeight="1" thickBot="1" x14ac:dyDescent="0.3">
      <c r="A19" s="519" t="s">
        <v>386</v>
      </c>
      <c r="B19" s="521" t="s">
        <v>385</v>
      </c>
      <c r="C19" s="523" t="s">
        <v>384</v>
      </c>
      <c r="D19" s="525" t="s">
        <v>383</v>
      </c>
      <c r="E19" s="526"/>
      <c r="F19" s="526"/>
      <c r="G19" s="527"/>
      <c r="H19" s="528" t="s">
        <v>382</v>
      </c>
      <c r="I19" s="529"/>
      <c r="J19" s="530"/>
    </row>
    <row r="20" spans="1:11" ht="72.75" customHeight="1" thickBot="1" x14ac:dyDescent="0.3">
      <c r="A20" s="520"/>
      <c r="B20" s="522"/>
      <c r="C20" s="524"/>
      <c r="D20" s="241" t="s">
        <v>381</v>
      </c>
      <c r="E20" s="241" t="s">
        <v>380</v>
      </c>
      <c r="F20" s="241" t="s">
        <v>379</v>
      </c>
      <c r="G20" s="241" t="s">
        <v>378</v>
      </c>
      <c r="H20" s="240" t="s">
        <v>377</v>
      </c>
      <c r="I20" s="240" t="s">
        <v>376</v>
      </c>
      <c r="J20" s="239" t="s">
        <v>375</v>
      </c>
    </row>
    <row r="21" spans="1:11" ht="11.25" customHeight="1" thickBot="1" x14ac:dyDescent="0.3">
      <c r="A21" s="238">
        <v>1</v>
      </c>
      <c r="B21" s="237">
        <v>2</v>
      </c>
      <c r="C21" s="236">
        <v>3</v>
      </c>
      <c r="D21" s="236">
        <v>4</v>
      </c>
      <c r="E21" s="236">
        <v>5</v>
      </c>
      <c r="F21" s="236">
        <v>6</v>
      </c>
      <c r="G21" s="236">
        <v>7</v>
      </c>
      <c r="H21" s="235">
        <v>8</v>
      </c>
      <c r="I21" s="235">
        <v>9</v>
      </c>
      <c r="J21" s="234">
        <v>10</v>
      </c>
    </row>
    <row r="22" spans="1:11" ht="102.75" customHeight="1" thickBot="1" x14ac:dyDescent="0.3">
      <c r="A22" s="233" t="s">
        <v>28</v>
      </c>
      <c r="B22" s="187" t="s">
        <v>374</v>
      </c>
      <c r="C22" s="232"/>
      <c r="D22" s="232"/>
      <c r="E22" s="232"/>
      <c r="F22" s="232"/>
      <c r="G22" s="232"/>
      <c r="H22" s="184">
        <f>H23+H36+H41+H47+H51+H59+H69+H73+H77</f>
        <v>1696140.58</v>
      </c>
      <c r="I22" s="184">
        <f>I23+I36+I41+I47+I51+I59+I69+I73+I77</f>
        <v>1776281.03</v>
      </c>
      <c r="J22" s="183">
        <f>J23+J36+J41+J47+J51+J59+J69+J73+J77</f>
        <v>1525735.0899999999</v>
      </c>
      <c r="K22" s="231"/>
    </row>
    <row r="23" spans="1:11" ht="60.75" thickBot="1" x14ac:dyDescent="0.3">
      <c r="A23" s="188" t="s">
        <v>175</v>
      </c>
      <c r="B23" s="187" t="s">
        <v>176</v>
      </c>
      <c r="C23" s="186" t="s">
        <v>308</v>
      </c>
      <c r="D23" s="185" t="s">
        <v>307</v>
      </c>
      <c r="E23" s="185" t="s">
        <v>317</v>
      </c>
      <c r="F23" s="185" t="s">
        <v>373</v>
      </c>
      <c r="G23" s="185" t="s">
        <v>310</v>
      </c>
      <c r="H23" s="184">
        <f>H24+H25+H26+H28+H29+H30+H31+H32+H33+H34</f>
        <v>800600</v>
      </c>
      <c r="I23" s="184">
        <f>I24+I25+I26+I28+I29+I30+I31+I32+I33+I34</f>
        <v>674100</v>
      </c>
      <c r="J23" s="183">
        <f>J24+J25+J26+J28+J29+J30+J31+J32+J33+J34</f>
        <v>578033.25</v>
      </c>
    </row>
    <row r="24" spans="1:11" ht="60" x14ac:dyDescent="0.25">
      <c r="A24" s="182" t="s">
        <v>177</v>
      </c>
      <c r="B24" s="181" t="s">
        <v>178</v>
      </c>
      <c r="C24" s="180"/>
      <c r="D24" s="179" t="s">
        <v>307</v>
      </c>
      <c r="E24" s="179" t="s">
        <v>317</v>
      </c>
      <c r="F24" s="179" t="s">
        <v>372</v>
      </c>
      <c r="G24" s="179" t="s">
        <v>322</v>
      </c>
      <c r="H24" s="178">
        <v>454600</v>
      </c>
      <c r="I24" s="177">
        <v>364600</v>
      </c>
      <c r="J24" s="176">
        <v>295290.65999999997</v>
      </c>
    </row>
    <row r="25" spans="1:11" ht="60" x14ac:dyDescent="0.25">
      <c r="A25" s="168" t="s">
        <v>181</v>
      </c>
      <c r="B25" s="174" t="s">
        <v>182</v>
      </c>
      <c r="C25" s="173"/>
      <c r="D25" s="172" t="s">
        <v>307</v>
      </c>
      <c r="E25" s="172" t="s">
        <v>317</v>
      </c>
      <c r="F25" s="172" t="s">
        <v>371</v>
      </c>
      <c r="G25" s="172" t="s">
        <v>322</v>
      </c>
      <c r="H25" s="171">
        <v>17000</v>
      </c>
      <c r="I25" s="170">
        <v>17000</v>
      </c>
      <c r="J25" s="169">
        <v>16352.59</v>
      </c>
    </row>
    <row r="26" spans="1:11" ht="36" customHeight="1" x14ac:dyDescent="0.25">
      <c r="A26" s="168" t="s">
        <v>184</v>
      </c>
      <c r="B26" s="174" t="s">
        <v>185</v>
      </c>
      <c r="C26" s="173"/>
      <c r="D26" s="172" t="s">
        <v>307</v>
      </c>
      <c r="E26" s="172" t="s">
        <v>317</v>
      </c>
      <c r="F26" s="172" t="s">
        <v>370</v>
      </c>
      <c r="G26" s="172" t="s">
        <v>322</v>
      </c>
      <c r="H26" s="171">
        <v>35000</v>
      </c>
      <c r="I26" s="170">
        <v>35000</v>
      </c>
      <c r="J26" s="169">
        <f>35000</f>
        <v>35000</v>
      </c>
    </row>
    <row r="27" spans="1:11" ht="62.25" customHeight="1" thickBot="1" x14ac:dyDescent="0.3">
      <c r="A27" s="194"/>
      <c r="B27" s="227" t="s">
        <v>369</v>
      </c>
      <c r="C27" s="166"/>
      <c r="D27" s="230" t="s">
        <v>307</v>
      </c>
      <c r="E27" s="230" t="s">
        <v>317</v>
      </c>
      <c r="F27" s="230" t="s">
        <v>368</v>
      </c>
      <c r="G27" s="230" t="s">
        <v>322</v>
      </c>
      <c r="H27" s="229">
        <f>H28+H29+H30+H31+H32+H33</f>
        <v>291000</v>
      </c>
      <c r="I27" s="229">
        <f>I28+I29+I30+I31+I32+I33</f>
        <v>256000</v>
      </c>
      <c r="J27" s="228">
        <f>J28+J29+J30+J31+J32+J33</f>
        <v>230000</v>
      </c>
    </row>
    <row r="28" spans="1:11" ht="54.75" customHeight="1" x14ac:dyDescent="0.25">
      <c r="A28" s="182" t="s">
        <v>186</v>
      </c>
      <c r="B28" s="181" t="s">
        <v>187</v>
      </c>
      <c r="C28" s="180"/>
      <c r="D28" s="179" t="s">
        <v>307</v>
      </c>
      <c r="E28" s="179" t="s">
        <v>317</v>
      </c>
      <c r="F28" s="179" t="s">
        <v>368</v>
      </c>
      <c r="G28" s="179" t="s">
        <v>322</v>
      </c>
      <c r="H28" s="178">
        <v>30000</v>
      </c>
      <c r="I28" s="177">
        <v>0</v>
      </c>
      <c r="J28" s="176">
        <v>0</v>
      </c>
    </row>
    <row r="29" spans="1:11" ht="45" x14ac:dyDescent="0.25">
      <c r="A29" s="168" t="s">
        <v>189</v>
      </c>
      <c r="B29" s="174" t="s">
        <v>190</v>
      </c>
      <c r="C29" s="173"/>
      <c r="D29" s="172" t="s">
        <v>307</v>
      </c>
      <c r="E29" s="172" t="s">
        <v>317</v>
      </c>
      <c r="F29" s="172" t="s">
        <v>368</v>
      </c>
      <c r="G29" s="172" t="s">
        <v>322</v>
      </c>
      <c r="H29" s="171">
        <v>10000</v>
      </c>
      <c r="I29" s="170">
        <v>10000</v>
      </c>
      <c r="J29" s="169">
        <v>0</v>
      </c>
    </row>
    <row r="30" spans="1:11" ht="55.5" customHeight="1" x14ac:dyDescent="0.25">
      <c r="A30" s="168" t="s">
        <v>192</v>
      </c>
      <c r="B30" s="174" t="s">
        <v>193</v>
      </c>
      <c r="C30" s="173"/>
      <c r="D30" s="172" t="s">
        <v>307</v>
      </c>
      <c r="E30" s="172" t="s">
        <v>317</v>
      </c>
      <c r="F30" s="172" t="s">
        <v>368</v>
      </c>
      <c r="G30" s="172" t="s">
        <v>322</v>
      </c>
      <c r="H30" s="171">
        <v>200000</v>
      </c>
      <c r="I30" s="170">
        <v>230000</v>
      </c>
      <c r="J30" s="169">
        <v>230000</v>
      </c>
    </row>
    <row r="31" spans="1:11" ht="45" x14ac:dyDescent="0.25">
      <c r="A31" s="168" t="s">
        <v>195</v>
      </c>
      <c r="B31" s="174" t="s">
        <v>196</v>
      </c>
      <c r="C31" s="173"/>
      <c r="D31" s="172" t="s">
        <v>307</v>
      </c>
      <c r="E31" s="172" t="s">
        <v>317</v>
      </c>
      <c r="F31" s="172" t="s">
        <v>368</v>
      </c>
      <c r="G31" s="172" t="s">
        <v>322</v>
      </c>
      <c r="H31" s="171">
        <v>5000</v>
      </c>
      <c r="I31" s="170">
        <v>0</v>
      </c>
      <c r="J31" s="169">
        <v>0</v>
      </c>
    </row>
    <row r="32" spans="1:11" ht="36" customHeight="1" x14ac:dyDescent="0.25">
      <c r="A32" s="168" t="s">
        <v>198</v>
      </c>
      <c r="B32" s="174" t="s">
        <v>199</v>
      </c>
      <c r="C32" s="173"/>
      <c r="D32" s="172" t="s">
        <v>307</v>
      </c>
      <c r="E32" s="172" t="s">
        <v>317</v>
      </c>
      <c r="F32" s="172" t="s">
        <v>368</v>
      </c>
      <c r="G32" s="172" t="s">
        <v>322</v>
      </c>
      <c r="H32" s="171">
        <v>16000</v>
      </c>
      <c r="I32" s="170">
        <v>16000</v>
      </c>
      <c r="J32" s="169">
        <v>0</v>
      </c>
    </row>
    <row r="33" spans="1:10" ht="45" x14ac:dyDescent="0.25">
      <c r="A33" s="168" t="s">
        <v>201</v>
      </c>
      <c r="B33" s="174" t="s">
        <v>202</v>
      </c>
      <c r="C33" s="173"/>
      <c r="D33" s="172" t="s">
        <v>307</v>
      </c>
      <c r="E33" s="172" t="s">
        <v>317</v>
      </c>
      <c r="F33" s="172" t="s">
        <v>368</v>
      </c>
      <c r="G33" s="172" t="s">
        <v>322</v>
      </c>
      <c r="H33" s="171">
        <v>30000</v>
      </c>
      <c r="I33" s="170">
        <v>0</v>
      </c>
      <c r="J33" s="169">
        <v>0</v>
      </c>
    </row>
    <row r="34" spans="1:10" ht="22.5" customHeight="1" x14ac:dyDescent="0.25">
      <c r="A34" s="168" t="s">
        <v>204</v>
      </c>
      <c r="B34" s="174" t="s">
        <v>205</v>
      </c>
      <c r="C34" s="173"/>
      <c r="D34" s="172" t="s">
        <v>307</v>
      </c>
      <c r="E34" s="172" t="s">
        <v>317</v>
      </c>
      <c r="F34" s="172" t="s">
        <v>367</v>
      </c>
      <c r="G34" s="172" t="s">
        <v>315</v>
      </c>
      <c r="H34" s="171">
        <v>3000</v>
      </c>
      <c r="I34" s="170">
        <v>1500</v>
      </c>
      <c r="J34" s="169">
        <v>1390</v>
      </c>
    </row>
    <row r="35" spans="1:10" ht="48" customHeight="1" thickBot="1" x14ac:dyDescent="0.3">
      <c r="A35" s="194"/>
      <c r="B35" s="227" t="s">
        <v>207</v>
      </c>
      <c r="C35" s="166"/>
      <c r="D35" s="205" t="s">
        <v>307</v>
      </c>
      <c r="E35" s="205" t="s">
        <v>317</v>
      </c>
      <c r="F35" s="205" t="s">
        <v>367</v>
      </c>
      <c r="G35" s="205" t="s">
        <v>315</v>
      </c>
      <c r="H35" s="164">
        <v>30000</v>
      </c>
      <c r="I35" s="203">
        <v>1500</v>
      </c>
      <c r="J35" s="202">
        <v>1390</v>
      </c>
    </row>
    <row r="36" spans="1:10" ht="61.5" customHeight="1" thickBot="1" x14ac:dyDescent="0.3">
      <c r="A36" s="188" t="s">
        <v>208</v>
      </c>
      <c r="B36" s="187" t="s">
        <v>64</v>
      </c>
      <c r="C36" s="186" t="s">
        <v>308</v>
      </c>
      <c r="D36" s="185" t="s">
        <v>307</v>
      </c>
      <c r="E36" s="185" t="s">
        <v>317</v>
      </c>
      <c r="F36" s="185" t="s">
        <v>366</v>
      </c>
      <c r="G36" s="185" t="s">
        <v>310</v>
      </c>
      <c r="H36" s="184">
        <f>H37+H38+H39+H40</f>
        <v>146000</v>
      </c>
      <c r="I36" s="184">
        <f>I37+I38+I39+I40</f>
        <v>166388.59</v>
      </c>
      <c r="J36" s="183">
        <f>J37+J38+J39+J40</f>
        <v>117249.76999999999</v>
      </c>
    </row>
    <row r="37" spans="1:10" ht="30" x14ac:dyDescent="0.25">
      <c r="A37" s="182" t="s">
        <v>209</v>
      </c>
      <c r="B37" s="181" t="s">
        <v>210</v>
      </c>
      <c r="C37" s="180"/>
      <c r="D37" s="179" t="s">
        <v>307</v>
      </c>
      <c r="E37" s="179" t="s">
        <v>317</v>
      </c>
      <c r="F37" s="179" t="s">
        <v>365</v>
      </c>
      <c r="G37" s="179" t="s">
        <v>322</v>
      </c>
      <c r="H37" s="178">
        <v>85000</v>
      </c>
      <c r="I37" s="177">
        <v>103388.59</v>
      </c>
      <c r="J37" s="176">
        <v>68821.570000000007</v>
      </c>
    </row>
    <row r="38" spans="1:10" ht="30" x14ac:dyDescent="0.25">
      <c r="A38" s="168" t="s">
        <v>213</v>
      </c>
      <c r="B38" s="174" t="s">
        <v>214</v>
      </c>
      <c r="C38" s="173"/>
      <c r="D38" s="179" t="s">
        <v>307</v>
      </c>
      <c r="E38" s="179" t="s">
        <v>317</v>
      </c>
      <c r="F38" s="179" t="s">
        <v>364</v>
      </c>
      <c r="G38" s="179" t="s">
        <v>322</v>
      </c>
      <c r="H38" s="171">
        <v>45000</v>
      </c>
      <c r="I38" s="170">
        <v>45000</v>
      </c>
      <c r="J38" s="169">
        <v>31959.84</v>
      </c>
    </row>
    <row r="39" spans="1:10" ht="45" x14ac:dyDescent="0.25">
      <c r="A39" s="168" t="s">
        <v>215</v>
      </c>
      <c r="B39" s="174" t="s">
        <v>216</v>
      </c>
      <c r="C39" s="173"/>
      <c r="D39" s="179" t="s">
        <v>307</v>
      </c>
      <c r="E39" s="179" t="s">
        <v>317</v>
      </c>
      <c r="F39" s="179" t="s">
        <v>363</v>
      </c>
      <c r="G39" s="179" t="s">
        <v>322</v>
      </c>
      <c r="H39" s="171">
        <v>1000</v>
      </c>
      <c r="I39" s="170">
        <v>3000</v>
      </c>
      <c r="J39" s="169">
        <v>1653.65</v>
      </c>
    </row>
    <row r="40" spans="1:10" ht="45.75" thickBot="1" x14ac:dyDescent="0.3">
      <c r="A40" s="194" t="s">
        <v>217</v>
      </c>
      <c r="B40" s="167" t="s">
        <v>218</v>
      </c>
      <c r="C40" s="166"/>
      <c r="D40" s="191" t="s">
        <v>307</v>
      </c>
      <c r="E40" s="191" t="s">
        <v>317</v>
      </c>
      <c r="F40" s="191" t="s">
        <v>362</v>
      </c>
      <c r="G40" s="191" t="s">
        <v>322</v>
      </c>
      <c r="H40" s="164">
        <v>15000</v>
      </c>
      <c r="I40" s="193">
        <v>15000</v>
      </c>
      <c r="J40" s="192">
        <v>14814.71</v>
      </c>
    </row>
    <row r="41" spans="1:10" ht="72.75" customHeight="1" thickBot="1" x14ac:dyDescent="0.3">
      <c r="A41" s="188" t="s">
        <v>220</v>
      </c>
      <c r="B41" s="187" t="s">
        <v>221</v>
      </c>
      <c r="C41" s="186" t="s">
        <v>308</v>
      </c>
      <c r="D41" s="185" t="s">
        <v>307</v>
      </c>
      <c r="E41" s="185" t="s">
        <v>317</v>
      </c>
      <c r="F41" s="185" t="s">
        <v>361</v>
      </c>
      <c r="G41" s="185" t="s">
        <v>310</v>
      </c>
      <c r="H41" s="184">
        <f>H42+H43+H44+H45+H46</f>
        <v>7500</v>
      </c>
      <c r="I41" s="184">
        <f>I42+I43+I44+I45+I46</f>
        <v>32137.97</v>
      </c>
      <c r="J41" s="183">
        <f>J42+J43+J44+J45+J46</f>
        <v>13578</v>
      </c>
    </row>
    <row r="42" spans="1:10" ht="54" customHeight="1" x14ac:dyDescent="0.25">
      <c r="A42" s="182" t="s">
        <v>222</v>
      </c>
      <c r="B42" s="181" t="s">
        <v>360</v>
      </c>
      <c r="C42" s="180"/>
      <c r="D42" s="179" t="s">
        <v>307</v>
      </c>
      <c r="E42" s="179" t="s">
        <v>317</v>
      </c>
      <c r="F42" s="179" t="s">
        <v>359</v>
      </c>
      <c r="G42" s="179" t="s">
        <v>322</v>
      </c>
      <c r="H42" s="178">
        <v>0</v>
      </c>
      <c r="I42" s="177">
        <v>0</v>
      </c>
      <c r="J42" s="176">
        <v>0</v>
      </c>
    </row>
    <row r="43" spans="1:10" ht="75.75" customHeight="1" x14ac:dyDescent="0.25">
      <c r="A43" s="168" t="s">
        <v>226</v>
      </c>
      <c r="B43" s="174" t="s">
        <v>227</v>
      </c>
      <c r="C43" s="173"/>
      <c r="D43" s="179" t="s">
        <v>307</v>
      </c>
      <c r="E43" s="179" t="s">
        <v>317</v>
      </c>
      <c r="F43" s="179" t="s">
        <v>358</v>
      </c>
      <c r="G43" s="179" t="s">
        <v>322</v>
      </c>
      <c r="H43" s="171">
        <v>0</v>
      </c>
      <c r="I43" s="170">
        <v>18437.97</v>
      </c>
      <c r="J43" s="169">
        <v>0</v>
      </c>
    </row>
    <row r="44" spans="1:10" ht="40.5" customHeight="1" x14ac:dyDescent="0.25">
      <c r="A44" s="168" t="s">
        <v>228</v>
      </c>
      <c r="B44" s="174" t="s">
        <v>229</v>
      </c>
      <c r="C44" s="173"/>
      <c r="D44" s="179" t="s">
        <v>307</v>
      </c>
      <c r="E44" s="179" t="s">
        <v>317</v>
      </c>
      <c r="F44" s="179" t="s">
        <v>358</v>
      </c>
      <c r="G44" s="179" t="s">
        <v>322</v>
      </c>
      <c r="H44" s="171">
        <v>0</v>
      </c>
      <c r="I44" s="170">
        <v>0</v>
      </c>
      <c r="J44" s="169">
        <v>0</v>
      </c>
    </row>
    <row r="45" spans="1:10" ht="36" customHeight="1" x14ac:dyDescent="0.25">
      <c r="A45" s="168" t="s">
        <v>230</v>
      </c>
      <c r="B45" s="174" t="s">
        <v>231</v>
      </c>
      <c r="C45" s="173"/>
      <c r="D45" s="179" t="s">
        <v>307</v>
      </c>
      <c r="E45" s="179" t="s">
        <v>317</v>
      </c>
      <c r="F45" s="179" t="s">
        <v>358</v>
      </c>
      <c r="G45" s="179" t="s">
        <v>322</v>
      </c>
      <c r="H45" s="171">
        <v>0</v>
      </c>
      <c r="I45" s="170">
        <v>0</v>
      </c>
      <c r="J45" s="169">
        <v>0</v>
      </c>
    </row>
    <row r="46" spans="1:10" ht="27" customHeight="1" thickBot="1" x14ac:dyDescent="0.3">
      <c r="A46" s="194" t="s">
        <v>232</v>
      </c>
      <c r="B46" s="167" t="s">
        <v>233</v>
      </c>
      <c r="C46" s="166"/>
      <c r="D46" s="165" t="s">
        <v>307</v>
      </c>
      <c r="E46" s="165" t="s">
        <v>317</v>
      </c>
      <c r="F46" s="165" t="s">
        <v>357</v>
      </c>
      <c r="G46" s="165" t="s">
        <v>315</v>
      </c>
      <c r="H46" s="164">
        <v>7500</v>
      </c>
      <c r="I46" s="193">
        <v>13700</v>
      </c>
      <c r="J46" s="192">
        <v>13578</v>
      </c>
    </row>
    <row r="47" spans="1:10" ht="60.75" thickBot="1" x14ac:dyDescent="0.3">
      <c r="A47" s="188" t="s">
        <v>234</v>
      </c>
      <c r="B47" s="187" t="s">
        <v>71</v>
      </c>
      <c r="C47" s="186" t="s">
        <v>308</v>
      </c>
      <c r="D47" s="185" t="s">
        <v>307</v>
      </c>
      <c r="E47" s="185" t="s">
        <v>317</v>
      </c>
      <c r="F47" s="185" t="s">
        <v>356</v>
      </c>
      <c r="G47" s="185" t="s">
        <v>310</v>
      </c>
      <c r="H47" s="184">
        <f>H48+H49+H50</f>
        <v>40000</v>
      </c>
      <c r="I47" s="184">
        <f>I48+I49+I50</f>
        <v>2100</v>
      </c>
      <c r="J47" s="183">
        <f>J48+J49+J50</f>
        <v>0</v>
      </c>
    </row>
    <row r="48" spans="1:10" ht="94.5" customHeight="1" x14ac:dyDescent="0.25">
      <c r="A48" s="182" t="s">
        <v>235</v>
      </c>
      <c r="B48" s="181" t="s">
        <v>236</v>
      </c>
      <c r="C48" s="180"/>
      <c r="D48" s="179" t="s">
        <v>307</v>
      </c>
      <c r="E48" s="179" t="s">
        <v>317</v>
      </c>
      <c r="F48" s="179" t="s">
        <v>355</v>
      </c>
      <c r="G48" s="179" t="s">
        <v>322</v>
      </c>
      <c r="H48" s="178">
        <v>37000</v>
      </c>
      <c r="I48" s="177">
        <v>2000</v>
      </c>
      <c r="J48" s="176">
        <v>0</v>
      </c>
    </row>
    <row r="49" spans="1:11" ht="32.25" customHeight="1" x14ac:dyDescent="0.25">
      <c r="A49" s="168" t="s">
        <v>239</v>
      </c>
      <c r="B49" s="174" t="s">
        <v>240</v>
      </c>
      <c r="C49" s="173"/>
      <c r="D49" s="179" t="s">
        <v>307</v>
      </c>
      <c r="E49" s="179" t="s">
        <v>317</v>
      </c>
      <c r="F49" s="179" t="s">
        <v>352</v>
      </c>
      <c r="G49" s="179" t="s">
        <v>354</v>
      </c>
      <c r="H49" s="171">
        <v>1000</v>
      </c>
      <c r="I49" s="170">
        <v>100</v>
      </c>
      <c r="J49" s="169">
        <v>0</v>
      </c>
    </row>
    <row r="50" spans="1:11" ht="63" customHeight="1" thickBot="1" x14ac:dyDescent="0.3">
      <c r="A50" s="194" t="s">
        <v>242</v>
      </c>
      <c r="B50" s="167" t="s">
        <v>353</v>
      </c>
      <c r="C50" s="166"/>
      <c r="D50" s="191" t="s">
        <v>307</v>
      </c>
      <c r="E50" s="191" t="s">
        <v>317</v>
      </c>
      <c r="F50" s="191" t="s">
        <v>352</v>
      </c>
      <c r="G50" s="191" t="s">
        <v>315</v>
      </c>
      <c r="H50" s="164">
        <v>2000</v>
      </c>
      <c r="I50" s="193">
        <v>0</v>
      </c>
      <c r="J50" s="192">
        <v>0</v>
      </c>
    </row>
    <row r="51" spans="1:11" ht="73.5" customHeight="1" thickBot="1" x14ac:dyDescent="0.3">
      <c r="A51" s="188" t="s">
        <v>244</v>
      </c>
      <c r="B51" s="187" t="s">
        <v>245</v>
      </c>
      <c r="C51" s="186" t="s">
        <v>308</v>
      </c>
      <c r="D51" s="185" t="s">
        <v>307</v>
      </c>
      <c r="E51" s="185" t="s">
        <v>317</v>
      </c>
      <c r="F51" s="185" t="s">
        <v>351</v>
      </c>
      <c r="G51" s="185" t="s">
        <v>310</v>
      </c>
      <c r="H51" s="184">
        <f>H52+H53+H54+H55+H56+H57+H58</f>
        <v>291227</v>
      </c>
      <c r="I51" s="184">
        <f>I52+I53+I54+I55+I56+I57+I58</f>
        <v>408238.7</v>
      </c>
      <c r="J51" s="183">
        <f>J52+J53+J54+J55+J56+J57+J58</f>
        <v>397436.83</v>
      </c>
    </row>
    <row r="52" spans="1:11" ht="38.25" customHeight="1" x14ac:dyDescent="0.25">
      <c r="A52" s="223" t="s">
        <v>246</v>
      </c>
      <c r="B52" s="181" t="s">
        <v>247</v>
      </c>
      <c r="C52" s="180"/>
      <c r="D52" s="179" t="s">
        <v>307</v>
      </c>
      <c r="E52" s="179" t="s">
        <v>317</v>
      </c>
      <c r="F52" s="179" t="s">
        <v>350</v>
      </c>
      <c r="G52" s="179" t="s">
        <v>322</v>
      </c>
      <c r="H52" s="178">
        <v>1000</v>
      </c>
      <c r="I52" s="177">
        <v>1000</v>
      </c>
      <c r="J52" s="176">
        <v>1000</v>
      </c>
    </row>
    <row r="53" spans="1:11" ht="43.5" customHeight="1" x14ac:dyDescent="0.25">
      <c r="A53" s="168" t="s">
        <v>250</v>
      </c>
      <c r="B53" s="174" t="s">
        <v>251</v>
      </c>
      <c r="C53" s="173"/>
      <c r="D53" s="172" t="s">
        <v>307</v>
      </c>
      <c r="E53" s="172" t="s">
        <v>317</v>
      </c>
      <c r="F53" s="172" t="s">
        <v>349</v>
      </c>
      <c r="G53" s="172" t="s">
        <v>322</v>
      </c>
      <c r="H53" s="171">
        <v>20000</v>
      </c>
      <c r="I53" s="170">
        <v>20000</v>
      </c>
      <c r="J53" s="169">
        <v>20000</v>
      </c>
    </row>
    <row r="54" spans="1:11" ht="41.25" customHeight="1" x14ac:dyDescent="0.25">
      <c r="A54" s="168" t="s">
        <v>252</v>
      </c>
      <c r="B54" s="174" t="s">
        <v>253</v>
      </c>
      <c r="C54" s="173"/>
      <c r="D54" s="172" t="s">
        <v>307</v>
      </c>
      <c r="E54" s="172" t="s">
        <v>317</v>
      </c>
      <c r="F54" s="172" t="s">
        <v>348</v>
      </c>
      <c r="G54" s="172" t="s">
        <v>322</v>
      </c>
      <c r="H54" s="171">
        <v>20000</v>
      </c>
      <c r="I54" s="170">
        <v>20000</v>
      </c>
      <c r="J54" s="169">
        <v>11047.49</v>
      </c>
    </row>
    <row r="55" spans="1:11" ht="57.75" customHeight="1" x14ac:dyDescent="0.25">
      <c r="A55" s="168" t="s">
        <v>254</v>
      </c>
      <c r="B55" s="174" t="s">
        <v>255</v>
      </c>
      <c r="C55" s="173"/>
      <c r="D55" s="172" t="s">
        <v>307</v>
      </c>
      <c r="E55" s="172" t="s">
        <v>317</v>
      </c>
      <c r="F55" s="172" t="s">
        <v>347</v>
      </c>
      <c r="G55" s="172" t="s">
        <v>322</v>
      </c>
      <c r="H55" s="171">
        <v>1000</v>
      </c>
      <c r="I55" s="170">
        <v>0</v>
      </c>
      <c r="J55" s="169">
        <v>0</v>
      </c>
    </row>
    <row r="56" spans="1:11" ht="58.5" customHeight="1" x14ac:dyDescent="0.25">
      <c r="A56" s="168" t="s">
        <v>256</v>
      </c>
      <c r="B56" s="174" t="s">
        <v>257</v>
      </c>
      <c r="C56" s="173"/>
      <c r="D56" s="172" t="s">
        <v>346</v>
      </c>
      <c r="E56" s="172" t="s">
        <v>345</v>
      </c>
      <c r="F56" s="172" t="s">
        <v>344</v>
      </c>
      <c r="G56" s="172" t="s">
        <v>343</v>
      </c>
      <c r="H56" s="171">
        <v>249227</v>
      </c>
      <c r="I56" s="170">
        <f>248627+118011.7</f>
        <v>366638.7</v>
      </c>
      <c r="J56" s="169">
        <f>246777.99+118011.7</f>
        <v>364789.69</v>
      </c>
      <c r="K56" s="175"/>
    </row>
    <row r="57" spans="1:11" ht="75.75" customHeight="1" thickBot="1" x14ac:dyDescent="0.3">
      <c r="A57" s="194" t="s">
        <v>258</v>
      </c>
      <c r="B57" s="174" t="s">
        <v>342</v>
      </c>
      <c r="C57" s="173"/>
      <c r="D57" s="172" t="s">
        <v>307</v>
      </c>
      <c r="E57" s="172" t="s">
        <v>317</v>
      </c>
      <c r="F57" s="172" t="s">
        <v>341</v>
      </c>
      <c r="G57" s="172" t="s">
        <v>322</v>
      </c>
      <c r="H57" s="171">
        <v>0</v>
      </c>
      <c r="I57" s="170">
        <v>0</v>
      </c>
      <c r="J57" s="169">
        <v>0</v>
      </c>
    </row>
    <row r="58" spans="1:11" ht="50.25" customHeight="1" thickBot="1" x14ac:dyDescent="0.3">
      <c r="A58" s="182" t="s">
        <v>260</v>
      </c>
      <c r="B58" s="226" t="s">
        <v>261</v>
      </c>
      <c r="C58" s="225"/>
      <c r="D58" s="191" t="s">
        <v>307</v>
      </c>
      <c r="E58" s="191" t="s">
        <v>317</v>
      </c>
      <c r="F58" s="191" t="s">
        <v>340</v>
      </c>
      <c r="G58" s="191" t="s">
        <v>315</v>
      </c>
      <c r="H58" s="224">
        <v>0</v>
      </c>
      <c r="I58" s="190">
        <v>600</v>
      </c>
      <c r="J58" s="189">
        <v>599.65</v>
      </c>
    </row>
    <row r="59" spans="1:11" ht="86.25" customHeight="1" thickBot="1" x14ac:dyDescent="0.3">
      <c r="A59" s="188" t="s">
        <v>262</v>
      </c>
      <c r="B59" s="187" t="s">
        <v>104</v>
      </c>
      <c r="C59" s="186" t="s">
        <v>308</v>
      </c>
      <c r="D59" s="185" t="s">
        <v>307</v>
      </c>
      <c r="E59" s="185" t="s">
        <v>317</v>
      </c>
      <c r="F59" s="185" t="s">
        <v>339</v>
      </c>
      <c r="G59" s="185" t="s">
        <v>310</v>
      </c>
      <c r="H59" s="184">
        <f>H60+H64+H65</f>
        <v>272000</v>
      </c>
      <c r="I59" s="184">
        <f>I60+I64+I65</f>
        <v>281751.40999999997</v>
      </c>
      <c r="J59" s="183">
        <f>J60+J64+J65</f>
        <v>246365.16</v>
      </c>
    </row>
    <row r="60" spans="1:11" ht="60" customHeight="1" x14ac:dyDescent="0.25">
      <c r="A60" s="223" t="s">
        <v>263</v>
      </c>
      <c r="B60" s="222" t="s">
        <v>338</v>
      </c>
      <c r="C60" s="221"/>
      <c r="D60" s="220" t="s">
        <v>307</v>
      </c>
      <c r="E60" s="220" t="s">
        <v>317</v>
      </c>
      <c r="F60" s="220" t="s">
        <v>334</v>
      </c>
      <c r="G60" s="220" t="s">
        <v>322</v>
      </c>
      <c r="H60" s="219">
        <f>H61+H62+H63</f>
        <v>230000</v>
      </c>
      <c r="I60" s="219">
        <f>I61+I62+I63</f>
        <v>262000</v>
      </c>
      <c r="J60" s="218">
        <f>J61+J62+J63</f>
        <v>227652.48000000001</v>
      </c>
    </row>
    <row r="61" spans="1:11" ht="43.5" customHeight="1" x14ac:dyDescent="0.25">
      <c r="A61" s="182"/>
      <c r="B61" s="217" t="s">
        <v>337</v>
      </c>
      <c r="C61" s="216"/>
      <c r="D61" s="215" t="s">
        <v>307</v>
      </c>
      <c r="E61" s="215" t="s">
        <v>317</v>
      </c>
      <c r="F61" s="215" t="s">
        <v>334</v>
      </c>
      <c r="G61" s="215" t="s">
        <v>322</v>
      </c>
      <c r="H61" s="214">
        <v>150000</v>
      </c>
      <c r="I61" s="213">
        <v>172000</v>
      </c>
      <c r="J61" s="212">
        <v>146610.48000000001</v>
      </c>
      <c r="K61" s="175"/>
    </row>
    <row r="62" spans="1:11" ht="39.75" customHeight="1" x14ac:dyDescent="0.25">
      <c r="A62" s="182"/>
      <c r="B62" s="217" t="s">
        <v>336</v>
      </c>
      <c r="C62" s="216"/>
      <c r="D62" s="215" t="s">
        <v>307</v>
      </c>
      <c r="E62" s="215" t="s">
        <v>317</v>
      </c>
      <c r="F62" s="215" t="s">
        <v>334</v>
      </c>
      <c r="G62" s="215" t="s">
        <v>322</v>
      </c>
      <c r="H62" s="214">
        <v>60000</v>
      </c>
      <c r="I62" s="213">
        <v>70000</v>
      </c>
      <c r="J62" s="212">
        <v>61042</v>
      </c>
    </row>
    <row r="63" spans="1:11" ht="35.25" customHeight="1" x14ac:dyDescent="0.25">
      <c r="A63" s="182"/>
      <c r="B63" s="217" t="s">
        <v>335</v>
      </c>
      <c r="C63" s="216"/>
      <c r="D63" s="215" t="s">
        <v>307</v>
      </c>
      <c r="E63" s="215" t="s">
        <v>317</v>
      </c>
      <c r="F63" s="215" t="s">
        <v>334</v>
      </c>
      <c r="G63" s="215" t="s">
        <v>322</v>
      </c>
      <c r="H63" s="214">
        <v>20000</v>
      </c>
      <c r="I63" s="213">
        <v>20000</v>
      </c>
      <c r="J63" s="212">
        <v>20000</v>
      </c>
    </row>
    <row r="64" spans="1:11" ht="39" customHeight="1" x14ac:dyDescent="0.25">
      <c r="A64" s="168" t="s">
        <v>267</v>
      </c>
      <c r="B64" s="174" t="s">
        <v>333</v>
      </c>
      <c r="C64" s="173"/>
      <c r="D64" s="179" t="s">
        <v>307</v>
      </c>
      <c r="E64" s="179" t="s">
        <v>317</v>
      </c>
      <c r="F64" s="179" t="s">
        <v>332</v>
      </c>
      <c r="G64" s="179" t="s">
        <v>315</v>
      </c>
      <c r="H64" s="171">
        <v>2000</v>
      </c>
      <c r="I64" s="170">
        <v>1000</v>
      </c>
      <c r="J64" s="169">
        <v>0</v>
      </c>
    </row>
    <row r="65" spans="1:11" ht="67.5" customHeight="1" x14ac:dyDescent="0.25">
      <c r="A65" s="211" t="s">
        <v>269</v>
      </c>
      <c r="B65" s="210" t="s">
        <v>331</v>
      </c>
      <c r="C65" s="173"/>
      <c r="D65" s="172" t="s">
        <v>307</v>
      </c>
      <c r="E65" s="172" t="s">
        <v>317</v>
      </c>
      <c r="F65" s="172" t="s">
        <v>327</v>
      </c>
      <c r="G65" s="172" t="s">
        <v>322</v>
      </c>
      <c r="H65" s="209">
        <f>H66+H67+H68</f>
        <v>40000</v>
      </c>
      <c r="I65" s="209">
        <f>I66+I67+I68</f>
        <v>18751.41</v>
      </c>
      <c r="J65" s="208">
        <f>J66+J67+J68</f>
        <v>18712.68</v>
      </c>
      <c r="K65" s="175"/>
    </row>
    <row r="66" spans="1:11" ht="66.75" customHeight="1" x14ac:dyDescent="0.25">
      <c r="A66" s="168"/>
      <c r="B66" s="207" t="s">
        <v>330</v>
      </c>
      <c r="C66" s="206"/>
      <c r="D66" s="205" t="s">
        <v>307</v>
      </c>
      <c r="E66" s="205" t="s">
        <v>317</v>
      </c>
      <c r="F66" s="205" t="s">
        <v>327</v>
      </c>
      <c r="G66" s="205" t="s">
        <v>322</v>
      </c>
      <c r="H66" s="204">
        <v>8000</v>
      </c>
      <c r="I66" s="203">
        <v>6751.41</v>
      </c>
      <c r="J66" s="202">
        <v>6712.76</v>
      </c>
    </row>
    <row r="67" spans="1:11" ht="56.25" customHeight="1" x14ac:dyDescent="0.25">
      <c r="A67" s="168"/>
      <c r="B67" s="207" t="s">
        <v>329</v>
      </c>
      <c r="C67" s="206"/>
      <c r="D67" s="205" t="s">
        <v>307</v>
      </c>
      <c r="E67" s="205" t="s">
        <v>317</v>
      </c>
      <c r="F67" s="205" t="s">
        <v>327</v>
      </c>
      <c r="G67" s="205" t="s">
        <v>322</v>
      </c>
      <c r="H67" s="204">
        <v>12000</v>
      </c>
      <c r="I67" s="203">
        <v>12000</v>
      </c>
      <c r="J67" s="202">
        <v>11999.92</v>
      </c>
    </row>
    <row r="68" spans="1:11" ht="45.75" customHeight="1" thickBot="1" x14ac:dyDescent="0.3">
      <c r="A68" s="201"/>
      <c r="B68" s="200" t="s">
        <v>328</v>
      </c>
      <c r="C68" s="199"/>
      <c r="D68" s="198" t="s">
        <v>307</v>
      </c>
      <c r="E68" s="198" t="s">
        <v>317</v>
      </c>
      <c r="F68" s="198" t="s">
        <v>327</v>
      </c>
      <c r="G68" s="198" t="s">
        <v>322</v>
      </c>
      <c r="H68" s="197">
        <v>20000</v>
      </c>
      <c r="I68" s="196">
        <v>0</v>
      </c>
      <c r="J68" s="195">
        <v>0</v>
      </c>
    </row>
    <row r="69" spans="1:11" ht="60.75" thickBot="1" x14ac:dyDescent="0.3">
      <c r="A69" s="188" t="s">
        <v>271</v>
      </c>
      <c r="B69" s="187" t="s">
        <v>272</v>
      </c>
      <c r="C69" s="186" t="s">
        <v>308</v>
      </c>
      <c r="D69" s="185" t="s">
        <v>307</v>
      </c>
      <c r="E69" s="185" t="s">
        <v>317</v>
      </c>
      <c r="F69" s="185" t="s">
        <v>326</v>
      </c>
      <c r="G69" s="185" t="s">
        <v>310</v>
      </c>
      <c r="H69" s="184">
        <f>H70+H71+H72</f>
        <v>21000</v>
      </c>
      <c r="I69" s="184">
        <f>I70+I71+I72</f>
        <v>44000</v>
      </c>
      <c r="J69" s="183">
        <f>J70+J71+J72</f>
        <v>11913.45</v>
      </c>
    </row>
    <row r="70" spans="1:11" ht="109.5" customHeight="1" x14ac:dyDescent="0.25">
      <c r="A70" s="168" t="s">
        <v>273</v>
      </c>
      <c r="B70" s="174" t="s">
        <v>274</v>
      </c>
      <c r="C70" s="173"/>
      <c r="D70" s="172" t="s">
        <v>307</v>
      </c>
      <c r="E70" s="172" t="s">
        <v>317</v>
      </c>
      <c r="F70" s="172" t="s">
        <v>325</v>
      </c>
      <c r="G70" s="172" t="s">
        <v>322</v>
      </c>
      <c r="H70" s="171">
        <v>3000</v>
      </c>
      <c r="I70" s="170">
        <v>3000</v>
      </c>
      <c r="J70" s="169">
        <v>34.659999999999997</v>
      </c>
    </row>
    <row r="71" spans="1:11" ht="45.75" customHeight="1" x14ac:dyDescent="0.25">
      <c r="A71" s="168" t="s">
        <v>277</v>
      </c>
      <c r="B71" s="174" t="s">
        <v>278</v>
      </c>
      <c r="C71" s="173"/>
      <c r="D71" s="172" t="s">
        <v>307</v>
      </c>
      <c r="E71" s="172" t="s">
        <v>317</v>
      </c>
      <c r="F71" s="172" t="s">
        <v>324</v>
      </c>
      <c r="G71" s="172" t="s">
        <v>322</v>
      </c>
      <c r="H71" s="171">
        <v>18000</v>
      </c>
      <c r="I71" s="170">
        <v>41000</v>
      </c>
      <c r="J71" s="169">
        <v>11878.79</v>
      </c>
    </row>
    <row r="72" spans="1:11" ht="67.5" customHeight="1" thickBot="1" x14ac:dyDescent="0.3">
      <c r="A72" s="194" t="s">
        <v>279</v>
      </c>
      <c r="B72" s="167" t="s">
        <v>280</v>
      </c>
      <c r="C72" s="166"/>
      <c r="D72" s="165" t="s">
        <v>307</v>
      </c>
      <c r="E72" s="165" t="s">
        <v>317</v>
      </c>
      <c r="F72" s="165" t="s">
        <v>323</v>
      </c>
      <c r="G72" s="165" t="s">
        <v>322</v>
      </c>
      <c r="H72" s="164">
        <v>0</v>
      </c>
      <c r="I72" s="193">
        <v>0</v>
      </c>
      <c r="J72" s="192">
        <v>0</v>
      </c>
    </row>
    <row r="73" spans="1:11" ht="150.75" customHeight="1" thickBot="1" x14ac:dyDescent="0.3">
      <c r="A73" s="188" t="s">
        <v>281</v>
      </c>
      <c r="B73" s="187" t="s">
        <v>321</v>
      </c>
      <c r="C73" s="186" t="s">
        <v>308</v>
      </c>
      <c r="D73" s="185" t="s">
        <v>307</v>
      </c>
      <c r="E73" s="185" t="s">
        <v>317</v>
      </c>
      <c r="F73" s="185" t="s">
        <v>320</v>
      </c>
      <c r="G73" s="185" t="s">
        <v>310</v>
      </c>
      <c r="H73" s="184">
        <f>H74+H75+H76</f>
        <v>42813.58</v>
      </c>
      <c r="I73" s="184">
        <f>I74+I75+I76</f>
        <v>42813.58</v>
      </c>
      <c r="J73" s="183">
        <f>J74+J75+J76</f>
        <v>37207.74</v>
      </c>
    </row>
    <row r="74" spans="1:11" ht="27.75" customHeight="1" x14ac:dyDescent="0.25">
      <c r="A74" s="505" t="s">
        <v>283</v>
      </c>
      <c r="B74" s="508" t="s">
        <v>284</v>
      </c>
      <c r="C74" s="511" t="s">
        <v>308</v>
      </c>
      <c r="D74" s="179" t="s">
        <v>307</v>
      </c>
      <c r="E74" s="179" t="s">
        <v>317</v>
      </c>
      <c r="F74" s="179" t="s">
        <v>316</v>
      </c>
      <c r="G74" s="179" t="s">
        <v>319</v>
      </c>
      <c r="H74" s="177">
        <v>41293.58</v>
      </c>
      <c r="I74" s="177">
        <v>41293.58</v>
      </c>
      <c r="J74" s="176">
        <v>35946.68</v>
      </c>
    </row>
    <row r="75" spans="1:11" ht="31.5" customHeight="1" x14ac:dyDescent="0.25">
      <c r="A75" s="506"/>
      <c r="B75" s="509"/>
      <c r="C75" s="512"/>
      <c r="D75" s="172" t="s">
        <v>307</v>
      </c>
      <c r="E75" s="172" t="s">
        <v>317</v>
      </c>
      <c r="F75" s="172" t="s">
        <v>316</v>
      </c>
      <c r="G75" s="172" t="s">
        <v>318</v>
      </c>
      <c r="H75" s="170">
        <v>1520</v>
      </c>
      <c r="I75" s="170">
        <v>517</v>
      </c>
      <c r="J75" s="169">
        <v>463.52</v>
      </c>
    </row>
    <row r="76" spans="1:11" ht="39" customHeight="1" thickBot="1" x14ac:dyDescent="0.3">
      <c r="A76" s="507"/>
      <c r="B76" s="510"/>
      <c r="C76" s="513"/>
      <c r="D76" s="191" t="s">
        <v>307</v>
      </c>
      <c r="E76" s="191" t="s">
        <v>317</v>
      </c>
      <c r="F76" s="191" t="s">
        <v>316</v>
      </c>
      <c r="G76" s="191" t="s">
        <v>315</v>
      </c>
      <c r="H76" s="190">
        <v>0</v>
      </c>
      <c r="I76" s="190">
        <v>1003</v>
      </c>
      <c r="J76" s="189">
        <v>797.54</v>
      </c>
    </row>
    <row r="77" spans="1:11" ht="150.75" thickBot="1" x14ac:dyDescent="0.3">
      <c r="A77" s="188" t="s">
        <v>287</v>
      </c>
      <c r="B77" s="187" t="s">
        <v>288</v>
      </c>
      <c r="C77" s="186" t="s">
        <v>314</v>
      </c>
      <c r="D77" s="185" t="s">
        <v>313</v>
      </c>
      <c r="E77" s="185" t="s">
        <v>312</v>
      </c>
      <c r="F77" s="185" t="s">
        <v>311</v>
      </c>
      <c r="G77" s="185" t="s">
        <v>310</v>
      </c>
      <c r="H77" s="184">
        <f>H78+H79+H80</f>
        <v>75000</v>
      </c>
      <c r="I77" s="184">
        <f>I78+I79+I80</f>
        <v>124750.78</v>
      </c>
      <c r="J77" s="183">
        <f>J78+J79+J80</f>
        <v>123950.89</v>
      </c>
    </row>
    <row r="78" spans="1:11" ht="69.75" customHeight="1" x14ac:dyDescent="0.25">
      <c r="A78" s="182" t="s">
        <v>289</v>
      </c>
      <c r="B78" s="181" t="s">
        <v>290</v>
      </c>
      <c r="C78" s="180" t="s">
        <v>308</v>
      </c>
      <c r="D78" s="179" t="s">
        <v>307</v>
      </c>
      <c r="E78" s="179" t="s">
        <v>306</v>
      </c>
      <c r="F78" s="179" t="s">
        <v>309</v>
      </c>
      <c r="G78" s="179" t="s">
        <v>304</v>
      </c>
      <c r="H78" s="178">
        <v>48000</v>
      </c>
      <c r="I78" s="177">
        <v>32211.09</v>
      </c>
      <c r="J78" s="176">
        <v>32211.09</v>
      </c>
      <c r="K78" s="175"/>
    </row>
    <row r="79" spans="1:11" ht="72" customHeight="1" x14ac:dyDescent="0.25">
      <c r="A79" s="168" t="s">
        <v>293</v>
      </c>
      <c r="B79" s="174" t="s">
        <v>294</v>
      </c>
      <c r="C79" s="173" t="s">
        <v>308</v>
      </c>
      <c r="D79" s="172" t="s">
        <v>307</v>
      </c>
      <c r="E79" s="172" t="s">
        <v>306</v>
      </c>
      <c r="F79" s="172" t="s">
        <v>305</v>
      </c>
      <c r="G79" s="172" t="s">
        <v>304</v>
      </c>
      <c r="H79" s="171">
        <v>27000</v>
      </c>
      <c r="I79" s="170">
        <v>42539.69</v>
      </c>
      <c r="J79" s="169">
        <v>42539.69</v>
      </c>
    </row>
    <row r="80" spans="1:11" ht="85.5" customHeight="1" thickBot="1" x14ac:dyDescent="0.3">
      <c r="A80" s="168" t="s">
        <v>295</v>
      </c>
      <c r="B80" s="167" t="s">
        <v>303</v>
      </c>
      <c r="C80" s="166" t="s">
        <v>302</v>
      </c>
      <c r="D80" s="165" t="s">
        <v>301</v>
      </c>
      <c r="E80" s="165" t="s">
        <v>300</v>
      </c>
      <c r="F80" s="165" t="s">
        <v>299</v>
      </c>
      <c r="G80" s="165" t="s">
        <v>298</v>
      </c>
      <c r="H80" s="164">
        <v>0</v>
      </c>
      <c r="I80" s="163">
        <v>50000</v>
      </c>
      <c r="J80" s="162">
        <v>49200.11</v>
      </c>
    </row>
    <row r="81" spans="3:8" ht="15.75" x14ac:dyDescent="0.25">
      <c r="C81" s="158"/>
      <c r="D81" s="161"/>
      <c r="E81" s="159"/>
      <c r="F81" s="161"/>
      <c r="G81" s="161"/>
      <c r="H81" s="158"/>
    </row>
    <row r="82" spans="3:8" ht="15.75" x14ac:dyDescent="0.25">
      <c r="C82" s="158"/>
      <c r="D82" s="161"/>
      <c r="E82" s="159"/>
      <c r="F82" s="161"/>
      <c r="G82" s="161"/>
      <c r="H82" s="158"/>
    </row>
    <row r="83" spans="3:8" ht="15.75" x14ac:dyDescent="0.25">
      <c r="C83" s="158"/>
      <c r="D83" s="160"/>
      <c r="E83" s="159"/>
      <c r="F83" s="160"/>
      <c r="G83" s="160"/>
      <c r="H83" s="158"/>
    </row>
    <row r="84" spans="3:8" ht="15.75" x14ac:dyDescent="0.25">
      <c r="C84" s="158"/>
      <c r="D84" s="159"/>
      <c r="E84" s="159"/>
      <c r="F84" s="159"/>
      <c r="G84" s="159"/>
      <c r="H84" s="158"/>
    </row>
    <row r="85" spans="3:8" ht="15.75" x14ac:dyDescent="0.25">
      <c r="C85" s="158"/>
      <c r="D85" s="159"/>
      <c r="E85" s="159"/>
      <c r="F85" s="159"/>
      <c r="G85" s="159"/>
      <c r="H85" s="158"/>
    </row>
    <row r="86" spans="3:8" ht="15.75" x14ac:dyDescent="0.25">
      <c r="C86" s="158"/>
      <c r="D86" s="159"/>
      <c r="E86" s="159"/>
      <c r="F86" s="159"/>
      <c r="G86" s="159"/>
      <c r="H86" s="158"/>
    </row>
    <row r="87" spans="3:8" ht="15.75" x14ac:dyDescent="0.25">
      <c r="C87" s="158"/>
      <c r="D87" s="160"/>
      <c r="E87" s="160"/>
      <c r="F87" s="160"/>
      <c r="G87" s="160"/>
      <c r="H87" s="158"/>
    </row>
    <row r="88" spans="3:8" ht="15.75" x14ac:dyDescent="0.25">
      <c r="C88" s="158"/>
      <c r="D88" s="159"/>
      <c r="E88" s="159"/>
      <c r="F88" s="159"/>
      <c r="G88" s="159"/>
      <c r="H88" s="158"/>
    </row>
    <row r="89" spans="3:8" ht="15.75" x14ac:dyDescent="0.25">
      <c r="C89" s="158"/>
      <c r="D89" s="159"/>
      <c r="E89" s="159"/>
      <c r="F89" s="159"/>
      <c r="G89" s="159"/>
      <c r="H89" s="158"/>
    </row>
    <row r="90" spans="3:8" ht="15.75" x14ac:dyDescent="0.25">
      <c r="C90" s="158"/>
      <c r="D90" s="160"/>
      <c r="E90" s="160"/>
      <c r="F90" s="160"/>
      <c r="G90" s="160"/>
      <c r="H90" s="158"/>
    </row>
    <row r="91" spans="3:8" ht="15.75" x14ac:dyDescent="0.25">
      <c r="C91" s="158"/>
      <c r="D91" s="159"/>
      <c r="E91" s="159"/>
      <c r="F91" s="159"/>
      <c r="G91" s="159"/>
      <c r="H91" s="158"/>
    </row>
    <row r="92" spans="3:8" ht="15.75" x14ac:dyDescent="0.25">
      <c r="C92" s="158"/>
      <c r="D92" s="159"/>
      <c r="E92" s="159"/>
      <c r="F92" s="159"/>
      <c r="G92" s="159"/>
      <c r="H92" s="158"/>
    </row>
    <row r="93" spans="3:8" x14ac:dyDescent="0.25">
      <c r="C93" s="158"/>
      <c r="D93" s="158"/>
      <c r="E93" s="158"/>
      <c r="F93" s="158"/>
      <c r="G93" s="158"/>
      <c r="H93" s="158"/>
    </row>
    <row r="94" spans="3:8" x14ac:dyDescent="0.25">
      <c r="C94" s="158"/>
      <c r="D94" s="158"/>
      <c r="E94" s="158"/>
      <c r="F94" s="158"/>
      <c r="G94" s="158"/>
      <c r="H94" s="158"/>
    </row>
    <row r="95" spans="3:8" x14ac:dyDescent="0.25">
      <c r="C95" s="158"/>
      <c r="D95" s="158"/>
      <c r="E95" s="158"/>
      <c r="F95" s="158"/>
      <c r="G95" s="158"/>
      <c r="H95" s="158"/>
    </row>
    <row r="96" spans="3:8" x14ac:dyDescent="0.25">
      <c r="C96" s="158"/>
      <c r="D96" s="158"/>
      <c r="E96" s="158"/>
      <c r="F96" s="158"/>
      <c r="G96" s="158"/>
      <c r="H96" s="158"/>
    </row>
    <row r="97" spans="3:8" x14ac:dyDescent="0.25">
      <c r="C97" s="158"/>
      <c r="D97" s="158"/>
      <c r="E97" s="158"/>
      <c r="F97" s="158"/>
      <c r="G97" s="158"/>
      <c r="H97" s="158"/>
    </row>
    <row r="98" spans="3:8" x14ac:dyDescent="0.25">
      <c r="C98" s="158"/>
      <c r="D98" s="158"/>
      <c r="E98" s="158"/>
      <c r="F98" s="158"/>
      <c r="G98" s="158"/>
      <c r="H98" s="158"/>
    </row>
  </sheetData>
  <mergeCells count="12">
    <mergeCell ref="A74:A76"/>
    <mergeCell ref="B74:B76"/>
    <mergeCell ref="C74:C76"/>
    <mergeCell ref="A14:J14"/>
    <mergeCell ref="A15:J15"/>
    <mergeCell ref="A16:J16"/>
    <mergeCell ref="A17:J17"/>
    <mergeCell ref="A19:A20"/>
    <mergeCell ref="B19:B20"/>
    <mergeCell ref="C19:C20"/>
    <mergeCell ref="D19:G19"/>
    <mergeCell ref="H19:J19"/>
  </mergeCells>
  <pageMargins left="0.37" right="0.16" top="0.25" bottom="0.22" header="0.16" footer="0.16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9"/>
  <sheetViews>
    <sheetView topLeftCell="A249" zoomScale="80" zoomScaleNormal="80" workbookViewId="0">
      <selection activeCell="A17" sqref="A17:F17"/>
    </sheetView>
  </sheetViews>
  <sheetFormatPr defaultRowHeight="15" x14ac:dyDescent="0.25"/>
  <cols>
    <col min="1" max="1" width="7.7109375" customWidth="1"/>
    <col min="2" max="2" width="40.140625" customWidth="1"/>
    <col min="3" max="3" width="35.5703125" customWidth="1"/>
    <col min="4" max="4" width="11" customWidth="1"/>
    <col min="5" max="5" width="20.7109375" style="276" customWidth="1"/>
    <col min="6" max="6" width="23.28515625" customWidth="1"/>
    <col min="7" max="7" width="9.5703125" bestFit="1" customWidth="1"/>
    <col min="8" max="8" width="10.5703125" bestFit="1" customWidth="1"/>
  </cols>
  <sheetData>
    <row r="1" spans="1:6" ht="18.75" x14ac:dyDescent="0.3">
      <c r="E1" s="3" t="s">
        <v>388</v>
      </c>
    </row>
    <row r="2" spans="1:6" ht="18.75" x14ac:dyDescent="0.3">
      <c r="E2" s="3" t="s">
        <v>1</v>
      </c>
    </row>
    <row r="3" spans="1:6" ht="18.75" x14ac:dyDescent="0.3">
      <c r="E3" s="3" t="s">
        <v>2</v>
      </c>
    </row>
    <row r="4" spans="1:6" ht="18.75" x14ac:dyDescent="0.3">
      <c r="E4" s="3" t="s">
        <v>3</v>
      </c>
    </row>
    <row r="5" spans="1:6" ht="18.75" x14ac:dyDescent="0.3">
      <c r="E5" s="3" t="s">
        <v>4</v>
      </c>
    </row>
    <row r="6" spans="1:6" ht="18.75" x14ac:dyDescent="0.3">
      <c r="E6" s="3" t="s">
        <v>5</v>
      </c>
    </row>
    <row r="7" spans="1:6" ht="18.75" x14ac:dyDescent="0.3">
      <c r="E7" s="3" t="s">
        <v>6</v>
      </c>
    </row>
    <row r="8" spans="1:6" ht="18.75" x14ac:dyDescent="0.3">
      <c r="E8" s="3" t="s">
        <v>3</v>
      </c>
    </row>
    <row r="9" spans="1:6" ht="18.75" x14ac:dyDescent="0.25">
      <c r="E9" s="4" t="s">
        <v>7</v>
      </c>
    </row>
    <row r="10" spans="1:6" ht="18.75" x14ac:dyDescent="0.3">
      <c r="E10" s="3" t="s">
        <v>8</v>
      </c>
    </row>
    <row r="11" spans="1:6" ht="18.75" x14ac:dyDescent="0.3">
      <c r="E11" s="3" t="s">
        <v>9</v>
      </c>
    </row>
    <row r="12" spans="1:6" ht="18.75" x14ac:dyDescent="0.25">
      <c r="E12" s="4" t="s">
        <v>11</v>
      </c>
    </row>
    <row r="13" spans="1:6" ht="3.75" customHeight="1" x14ac:dyDescent="0.25">
      <c r="A13" s="247"/>
      <c r="B13" s="245"/>
      <c r="C13" s="245"/>
      <c r="D13" s="245"/>
      <c r="E13" s="248"/>
      <c r="F13" s="245"/>
    </row>
    <row r="14" spans="1:6" ht="74.25" customHeight="1" x14ac:dyDescent="0.3">
      <c r="A14" s="543" t="s">
        <v>389</v>
      </c>
      <c r="B14" s="544"/>
      <c r="C14" s="544"/>
      <c r="D14" s="544"/>
      <c r="E14" s="544"/>
      <c r="F14" s="544"/>
    </row>
    <row r="15" spans="1:6" ht="35.25" customHeight="1" x14ac:dyDescent="0.25">
      <c r="A15" s="504" t="s">
        <v>390</v>
      </c>
      <c r="B15" s="545"/>
      <c r="C15" s="545"/>
      <c r="D15" s="545"/>
      <c r="E15" s="545"/>
      <c r="F15" s="545"/>
    </row>
    <row r="16" spans="1:6" s="243" customFormat="1" ht="12" customHeight="1" x14ac:dyDescent="0.2">
      <c r="A16" s="546" t="s">
        <v>15</v>
      </c>
      <c r="B16" s="546"/>
      <c r="C16" s="546"/>
      <c r="D16" s="546"/>
      <c r="E16" s="546"/>
      <c r="F16" s="546"/>
    </row>
    <row r="17" spans="1:8" ht="19.5" thickBot="1" x14ac:dyDescent="0.3">
      <c r="A17" s="398" t="s">
        <v>16</v>
      </c>
      <c r="B17" s="518"/>
      <c r="C17" s="518"/>
      <c r="D17" s="518"/>
      <c r="E17" s="518"/>
      <c r="F17" s="518"/>
    </row>
    <row r="18" spans="1:8" ht="78" customHeight="1" thickBot="1" x14ac:dyDescent="0.3">
      <c r="A18" s="249" t="s">
        <v>386</v>
      </c>
      <c r="B18" s="240" t="s">
        <v>385</v>
      </c>
      <c r="C18" s="240" t="s">
        <v>391</v>
      </c>
      <c r="D18" s="240" t="s">
        <v>381</v>
      </c>
      <c r="E18" s="250" t="s">
        <v>392</v>
      </c>
      <c r="F18" s="239" t="s">
        <v>393</v>
      </c>
      <c r="H18" s="231"/>
    </row>
    <row r="19" spans="1:8" ht="17.25" customHeight="1" thickBot="1" x14ac:dyDescent="0.3">
      <c r="A19" s="238">
        <v>1</v>
      </c>
      <c r="B19" s="251">
        <v>2</v>
      </c>
      <c r="C19" s="252">
        <v>3</v>
      </c>
      <c r="D19" s="252">
        <v>4</v>
      </c>
      <c r="E19" s="253">
        <v>5</v>
      </c>
      <c r="F19" s="254">
        <v>6</v>
      </c>
    </row>
    <row r="20" spans="1:8" ht="15" customHeight="1" x14ac:dyDescent="0.25">
      <c r="A20" s="537" t="s">
        <v>28</v>
      </c>
      <c r="B20" s="538" t="s">
        <v>374</v>
      </c>
      <c r="C20" s="255" t="s">
        <v>394</v>
      </c>
      <c r="D20" s="256">
        <v>758</v>
      </c>
      <c r="E20" s="257">
        <f>SUM(E21:E26)</f>
        <v>14862061.855</v>
      </c>
      <c r="F20" s="258">
        <f>SUM(F21:F26)</f>
        <v>62493275.329999998</v>
      </c>
      <c r="G20" s="175"/>
      <c r="H20" s="231"/>
    </row>
    <row r="21" spans="1:8" ht="45" x14ac:dyDescent="0.25">
      <c r="A21" s="532"/>
      <c r="B21" s="547"/>
      <c r="C21" s="260" t="s">
        <v>395</v>
      </c>
      <c r="D21" s="261">
        <v>758</v>
      </c>
      <c r="E21" s="170">
        <f t="shared" ref="E21:F26" si="0">E28+E105+E140+E182+E210+E266+E294+E322+E329</f>
        <v>941068.82499999995</v>
      </c>
      <c r="F21" s="169">
        <f t="shared" si="0"/>
        <v>763623.23</v>
      </c>
    </row>
    <row r="22" spans="1:8" x14ac:dyDescent="0.25">
      <c r="A22" s="532"/>
      <c r="B22" s="547"/>
      <c r="C22" s="260" t="s">
        <v>396</v>
      </c>
      <c r="D22" s="261">
        <v>758</v>
      </c>
      <c r="E22" s="262">
        <f t="shared" si="0"/>
        <v>1776281.03</v>
      </c>
      <c r="F22" s="169">
        <f t="shared" si="0"/>
        <v>1525735.0999999999</v>
      </c>
    </row>
    <row r="23" spans="1:8" x14ac:dyDescent="0.25">
      <c r="A23" s="532"/>
      <c r="B23" s="547"/>
      <c r="C23" s="260" t="s">
        <v>397</v>
      </c>
      <c r="D23" s="261">
        <v>758</v>
      </c>
      <c r="E23" s="170">
        <f t="shared" si="0"/>
        <v>0</v>
      </c>
      <c r="F23" s="169">
        <f t="shared" si="0"/>
        <v>7436.5599999999995</v>
      </c>
      <c r="G23" s="263"/>
    </row>
    <row r="24" spans="1:8" ht="30" x14ac:dyDescent="0.25">
      <c r="A24" s="532"/>
      <c r="B24" s="547"/>
      <c r="C24" s="260" t="s">
        <v>398</v>
      </c>
      <c r="D24" s="261">
        <v>758</v>
      </c>
      <c r="E24" s="170">
        <f t="shared" si="0"/>
        <v>0</v>
      </c>
      <c r="F24" s="169">
        <f t="shared" si="0"/>
        <v>0</v>
      </c>
    </row>
    <row r="25" spans="1:8" ht="30" x14ac:dyDescent="0.25">
      <c r="A25" s="532"/>
      <c r="B25" s="547"/>
      <c r="C25" s="260" t="s">
        <v>399</v>
      </c>
      <c r="D25" s="261">
        <v>758</v>
      </c>
      <c r="E25" s="170">
        <f t="shared" si="0"/>
        <v>0</v>
      </c>
      <c r="F25" s="169">
        <f t="shared" si="0"/>
        <v>0</v>
      </c>
    </row>
    <row r="26" spans="1:8" ht="17.25" customHeight="1" thickBot="1" x14ac:dyDescent="0.3">
      <c r="A26" s="533"/>
      <c r="B26" s="548"/>
      <c r="C26" s="265" t="s">
        <v>400</v>
      </c>
      <c r="D26" s="266">
        <v>758</v>
      </c>
      <c r="E26" s="170">
        <f t="shared" si="0"/>
        <v>12144712</v>
      </c>
      <c r="F26" s="192">
        <f t="shared" si="0"/>
        <v>60196480.439999998</v>
      </c>
      <c r="G26" s="175"/>
    </row>
    <row r="27" spans="1:8" ht="15" customHeight="1" x14ac:dyDescent="0.25">
      <c r="A27" s="537" t="s">
        <v>175</v>
      </c>
      <c r="B27" s="538" t="s">
        <v>176</v>
      </c>
      <c r="C27" s="255" t="s">
        <v>394</v>
      </c>
      <c r="D27" s="256">
        <v>758</v>
      </c>
      <c r="E27" s="257">
        <f>SUM(E28:E33)</f>
        <v>5929653.7599999998</v>
      </c>
      <c r="F27" s="258">
        <f>F34+F41+F48+F55+F62+F69+F76+F83+F90+F97</f>
        <v>6521334.9700000007</v>
      </c>
    </row>
    <row r="28" spans="1:8" ht="45" x14ac:dyDescent="0.25">
      <c r="A28" s="532"/>
      <c r="B28" s="539"/>
      <c r="C28" s="260" t="s">
        <v>395</v>
      </c>
      <c r="D28" s="261">
        <v>758</v>
      </c>
      <c r="E28" s="170">
        <f t="shared" ref="E28:F33" si="1">E35+E42+E49+E56+E63+E70+E77+E84+E91+E98</f>
        <v>143926.76</v>
      </c>
      <c r="F28" s="169">
        <f t="shared" si="1"/>
        <v>133994.22999999998</v>
      </c>
      <c r="G28" s="175"/>
    </row>
    <row r="29" spans="1:8" x14ac:dyDescent="0.25">
      <c r="A29" s="532"/>
      <c r="B29" s="539"/>
      <c r="C29" s="260" t="s">
        <v>396</v>
      </c>
      <c r="D29" s="261">
        <v>758</v>
      </c>
      <c r="E29" s="170">
        <f t="shared" si="1"/>
        <v>674100</v>
      </c>
      <c r="F29" s="169">
        <f t="shared" si="1"/>
        <v>578033.25</v>
      </c>
    </row>
    <row r="30" spans="1:8" x14ac:dyDescent="0.25">
      <c r="A30" s="532"/>
      <c r="B30" s="539"/>
      <c r="C30" s="260" t="s">
        <v>397</v>
      </c>
      <c r="D30" s="261">
        <v>758</v>
      </c>
      <c r="E30" s="170">
        <f t="shared" si="1"/>
        <v>0</v>
      </c>
      <c r="F30" s="169">
        <f t="shared" si="1"/>
        <v>0</v>
      </c>
    </row>
    <row r="31" spans="1:8" ht="30" x14ac:dyDescent="0.25">
      <c r="A31" s="532"/>
      <c r="B31" s="539"/>
      <c r="C31" s="260" t="s">
        <v>398</v>
      </c>
      <c r="D31" s="261">
        <v>758</v>
      </c>
      <c r="E31" s="170">
        <f t="shared" si="1"/>
        <v>0</v>
      </c>
      <c r="F31" s="169">
        <f t="shared" si="1"/>
        <v>0</v>
      </c>
    </row>
    <row r="32" spans="1:8" ht="30" x14ac:dyDescent="0.25">
      <c r="A32" s="532"/>
      <c r="B32" s="539"/>
      <c r="C32" s="260" t="s">
        <v>399</v>
      </c>
      <c r="D32" s="261">
        <v>758</v>
      </c>
      <c r="E32" s="170">
        <f t="shared" si="1"/>
        <v>0</v>
      </c>
      <c r="F32" s="169">
        <f t="shared" si="1"/>
        <v>0</v>
      </c>
    </row>
    <row r="33" spans="1:7" ht="15.75" thickBot="1" x14ac:dyDescent="0.3">
      <c r="A33" s="533"/>
      <c r="B33" s="540"/>
      <c r="C33" s="265" t="s">
        <v>400</v>
      </c>
      <c r="D33" s="266">
        <v>758</v>
      </c>
      <c r="E33" s="193">
        <f t="shared" si="1"/>
        <v>5111627</v>
      </c>
      <c r="F33" s="192">
        <f t="shared" si="1"/>
        <v>5809307.4900000002</v>
      </c>
    </row>
    <row r="34" spans="1:7" ht="15" customHeight="1" x14ac:dyDescent="0.25">
      <c r="A34" s="531" t="s">
        <v>177</v>
      </c>
      <c r="B34" s="534" t="s">
        <v>178</v>
      </c>
      <c r="C34" s="255" t="s">
        <v>394</v>
      </c>
      <c r="D34" s="256">
        <v>758</v>
      </c>
      <c r="E34" s="257">
        <f>SUM(E35:E40)</f>
        <v>3971316.76</v>
      </c>
      <c r="F34" s="258">
        <f>SUM(F35:F40)</f>
        <v>4736450.6100000003</v>
      </c>
    </row>
    <row r="35" spans="1:7" ht="45" x14ac:dyDescent="0.25">
      <c r="A35" s="532"/>
      <c r="B35" s="535"/>
      <c r="C35" s="260" t="s">
        <v>395</v>
      </c>
      <c r="D35" s="261">
        <v>758</v>
      </c>
      <c r="E35" s="170">
        <f>42.9+72.5+35457.76-42.9-72.5+11800+19459</f>
        <v>66716.760000000009</v>
      </c>
      <c r="F35" s="169">
        <f>58159.95</f>
        <v>58159.95</v>
      </c>
    </row>
    <row r="36" spans="1:7" x14ac:dyDescent="0.25">
      <c r="A36" s="532"/>
      <c r="B36" s="535"/>
      <c r="C36" s="260" t="s">
        <v>396</v>
      </c>
      <c r="D36" s="261">
        <v>758</v>
      </c>
      <c r="E36" s="170">
        <v>364600</v>
      </c>
      <c r="F36" s="169">
        <v>295290.65999999997</v>
      </c>
    </row>
    <row r="37" spans="1:7" x14ac:dyDescent="0.25">
      <c r="A37" s="532"/>
      <c r="B37" s="535"/>
      <c r="C37" s="260" t="s">
        <v>397</v>
      </c>
      <c r="D37" s="261">
        <v>758</v>
      </c>
      <c r="E37" s="170">
        <v>0</v>
      </c>
      <c r="F37" s="169">
        <v>0</v>
      </c>
    </row>
    <row r="38" spans="1:7" ht="30" x14ac:dyDescent="0.25">
      <c r="A38" s="532"/>
      <c r="B38" s="535"/>
      <c r="C38" s="260" t="s">
        <v>398</v>
      </c>
      <c r="D38" s="261">
        <v>758</v>
      </c>
      <c r="E38" s="170">
        <v>0</v>
      </c>
      <c r="F38" s="169">
        <v>0</v>
      </c>
    </row>
    <row r="39" spans="1:7" ht="30" x14ac:dyDescent="0.25">
      <c r="A39" s="532"/>
      <c r="B39" s="535"/>
      <c r="C39" s="260" t="s">
        <v>399</v>
      </c>
      <c r="D39" s="261">
        <v>758</v>
      </c>
      <c r="E39" s="170">
        <v>0</v>
      </c>
      <c r="F39" s="169">
        <v>0</v>
      </c>
    </row>
    <row r="40" spans="1:7" ht="15.75" thickBot="1" x14ac:dyDescent="0.3">
      <c r="A40" s="533"/>
      <c r="B40" s="536"/>
      <c r="C40" s="265" t="s">
        <v>400</v>
      </c>
      <c r="D40" s="266">
        <v>758</v>
      </c>
      <c r="E40" s="193">
        <v>3540000</v>
      </c>
      <c r="F40" s="169">
        <f>2593000+1790000</f>
        <v>4383000</v>
      </c>
    </row>
    <row r="41" spans="1:7" ht="15" customHeight="1" x14ac:dyDescent="0.25">
      <c r="A41" s="531" t="s">
        <v>181</v>
      </c>
      <c r="B41" s="534" t="s">
        <v>182</v>
      </c>
      <c r="C41" s="255" t="s">
        <v>394</v>
      </c>
      <c r="D41" s="256">
        <v>758</v>
      </c>
      <c r="E41" s="257">
        <f>SUM(E42:E47)</f>
        <v>59027</v>
      </c>
      <c r="F41" s="258">
        <f>SUM(F42:F47)</f>
        <v>56210.959999999992</v>
      </c>
    </row>
    <row r="42" spans="1:7" ht="45" x14ac:dyDescent="0.25">
      <c r="A42" s="532"/>
      <c r="B42" s="535"/>
      <c r="C42" s="260" t="s">
        <v>395</v>
      </c>
      <c r="D42" s="261">
        <v>758</v>
      </c>
      <c r="E42" s="170">
        <f>36124</f>
        <v>36124</v>
      </c>
      <c r="F42" s="169">
        <f>34748.28</f>
        <v>34748.28</v>
      </c>
      <c r="G42" s="175"/>
    </row>
    <row r="43" spans="1:7" x14ac:dyDescent="0.25">
      <c r="A43" s="532"/>
      <c r="B43" s="535"/>
      <c r="C43" s="260" t="s">
        <v>396</v>
      </c>
      <c r="D43" s="261">
        <v>758</v>
      </c>
      <c r="E43" s="170">
        <v>17000</v>
      </c>
      <c r="F43" s="169">
        <v>16352.59</v>
      </c>
    </row>
    <row r="44" spans="1:7" x14ac:dyDescent="0.25">
      <c r="A44" s="532"/>
      <c r="B44" s="535"/>
      <c r="C44" s="260" t="s">
        <v>397</v>
      </c>
      <c r="D44" s="261">
        <v>758</v>
      </c>
      <c r="E44" s="170">
        <v>0</v>
      </c>
      <c r="F44" s="169">
        <v>0</v>
      </c>
    </row>
    <row r="45" spans="1:7" ht="30" x14ac:dyDescent="0.25">
      <c r="A45" s="532"/>
      <c r="B45" s="535"/>
      <c r="C45" s="260" t="s">
        <v>398</v>
      </c>
      <c r="D45" s="261">
        <v>758</v>
      </c>
      <c r="E45" s="170">
        <v>0</v>
      </c>
      <c r="F45" s="169">
        <v>0</v>
      </c>
    </row>
    <row r="46" spans="1:7" ht="30" x14ac:dyDescent="0.25">
      <c r="A46" s="532"/>
      <c r="B46" s="535"/>
      <c r="C46" s="260" t="s">
        <v>399</v>
      </c>
      <c r="D46" s="261">
        <v>758</v>
      </c>
      <c r="E46" s="170">
        <v>0</v>
      </c>
      <c r="F46" s="169">
        <v>0</v>
      </c>
    </row>
    <row r="47" spans="1:7" ht="15.75" thickBot="1" x14ac:dyDescent="0.3">
      <c r="A47" s="533"/>
      <c r="B47" s="536"/>
      <c r="C47" s="265" t="s">
        <v>400</v>
      </c>
      <c r="D47" s="266">
        <v>758</v>
      </c>
      <c r="E47" s="193">
        <v>5903</v>
      </c>
      <c r="F47" s="169">
        <v>5110.09</v>
      </c>
    </row>
    <row r="48" spans="1:7" ht="15" customHeight="1" x14ac:dyDescent="0.25">
      <c r="A48" s="531" t="s">
        <v>184</v>
      </c>
      <c r="B48" s="534" t="s">
        <v>185</v>
      </c>
      <c r="C48" s="255" t="s">
        <v>394</v>
      </c>
      <c r="D48" s="256">
        <v>758</v>
      </c>
      <c r="E48" s="257">
        <f>SUM(E49:E54)</f>
        <v>126810</v>
      </c>
      <c r="F48" s="258">
        <f>SUM(F49:F54)</f>
        <v>106520.4</v>
      </c>
    </row>
    <row r="49" spans="1:7" ht="45" x14ac:dyDescent="0.25">
      <c r="A49" s="532"/>
      <c r="B49" s="535"/>
      <c r="C49" s="260" t="s">
        <v>395</v>
      </c>
      <c r="D49" s="261">
        <v>758</v>
      </c>
      <c r="E49" s="170">
        <f>41086</f>
        <v>41086</v>
      </c>
      <c r="F49" s="169">
        <f>41086</f>
        <v>41086</v>
      </c>
      <c r="G49" s="175"/>
    </row>
    <row r="50" spans="1:7" x14ac:dyDescent="0.25">
      <c r="A50" s="532"/>
      <c r="B50" s="535"/>
      <c r="C50" s="260" t="s">
        <v>396</v>
      </c>
      <c r="D50" s="261">
        <v>758</v>
      </c>
      <c r="E50" s="170">
        <v>35000</v>
      </c>
      <c r="F50" s="169">
        <v>35000</v>
      </c>
    </row>
    <row r="51" spans="1:7" x14ac:dyDescent="0.25">
      <c r="A51" s="532"/>
      <c r="B51" s="535"/>
      <c r="C51" s="260" t="s">
        <v>397</v>
      </c>
      <c r="D51" s="261">
        <v>758</v>
      </c>
      <c r="E51" s="170">
        <v>0</v>
      </c>
      <c r="F51" s="169">
        <v>0</v>
      </c>
    </row>
    <row r="52" spans="1:7" ht="30" x14ac:dyDescent="0.25">
      <c r="A52" s="532"/>
      <c r="B52" s="535"/>
      <c r="C52" s="260" t="s">
        <v>398</v>
      </c>
      <c r="D52" s="261">
        <v>758</v>
      </c>
      <c r="E52" s="170">
        <v>0</v>
      </c>
      <c r="F52" s="169">
        <v>0</v>
      </c>
    </row>
    <row r="53" spans="1:7" ht="30" x14ac:dyDescent="0.25">
      <c r="A53" s="532"/>
      <c r="B53" s="535"/>
      <c r="C53" s="260" t="s">
        <v>399</v>
      </c>
      <c r="D53" s="261">
        <v>758</v>
      </c>
      <c r="E53" s="170">
        <v>0</v>
      </c>
      <c r="F53" s="169">
        <v>0</v>
      </c>
    </row>
    <row r="54" spans="1:7" ht="15.75" thickBot="1" x14ac:dyDescent="0.3">
      <c r="A54" s="533"/>
      <c r="B54" s="536"/>
      <c r="C54" s="265" t="s">
        <v>400</v>
      </c>
      <c r="D54" s="266">
        <v>758</v>
      </c>
      <c r="E54" s="193">
        <v>50724</v>
      </c>
      <c r="F54" s="192">
        <v>30434.400000000001</v>
      </c>
    </row>
    <row r="55" spans="1:7" ht="15" customHeight="1" x14ac:dyDescent="0.25">
      <c r="A55" s="531" t="s">
        <v>186</v>
      </c>
      <c r="B55" s="534" t="s">
        <v>187</v>
      </c>
      <c r="C55" s="255" t="s">
        <v>394</v>
      </c>
      <c r="D55" s="256">
        <v>758</v>
      </c>
      <c r="E55" s="257">
        <f>SUM(E56:E61)</f>
        <v>165000</v>
      </c>
      <c r="F55" s="258">
        <f>SUM(F56:F61)</f>
        <v>310000</v>
      </c>
    </row>
    <row r="56" spans="1:7" ht="45" x14ac:dyDescent="0.25">
      <c r="A56" s="532"/>
      <c r="B56" s="535"/>
      <c r="C56" s="260" t="s">
        <v>395</v>
      </c>
      <c r="D56" s="261">
        <v>758</v>
      </c>
      <c r="E56" s="170">
        <v>0</v>
      </c>
      <c r="F56" s="169">
        <v>0</v>
      </c>
    </row>
    <row r="57" spans="1:7" x14ac:dyDescent="0.25">
      <c r="A57" s="532"/>
      <c r="B57" s="535"/>
      <c r="C57" s="260" t="s">
        <v>396</v>
      </c>
      <c r="D57" s="261">
        <v>758</v>
      </c>
      <c r="E57" s="170">
        <f>30000-30000</f>
        <v>0</v>
      </c>
      <c r="F57" s="169">
        <v>0</v>
      </c>
    </row>
    <row r="58" spans="1:7" x14ac:dyDescent="0.25">
      <c r="A58" s="532"/>
      <c r="B58" s="535"/>
      <c r="C58" s="260" t="s">
        <v>397</v>
      </c>
      <c r="D58" s="261">
        <v>758</v>
      </c>
      <c r="E58" s="170">
        <v>0</v>
      </c>
      <c r="F58" s="169">
        <v>0</v>
      </c>
    </row>
    <row r="59" spans="1:7" ht="30" x14ac:dyDescent="0.25">
      <c r="A59" s="532"/>
      <c r="B59" s="535"/>
      <c r="C59" s="260" t="s">
        <v>398</v>
      </c>
      <c r="D59" s="261">
        <v>758</v>
      </c>
      <c r="E59" s="170">
        <v>0</v>
      </c>
      <c r="F59" s="169">
        <v>0</v>
      </c>
    </row>
    <row r="60" spans="1:7" ht="30" x14ac:dyDescent="0.25">
      <c r="A60" s="532"/>
      <c r="B60" s="535"/>
      <c r="C60" s="260" t="s">
        <v>399</v>
      </c>
      <c r="D60" s="261">
        <v>758</v>
      </c>
      <c r="E60" s="170">
        <v>0</v>
      </c>
      <c r="F60" s="169">
        <v>0</v>
      </c>
    </row>
    <row r="61" spans="1:7" ht="15.75" thickBot="1" x14ac:dyDescent="0.3">
      <c r="A61" s="533"/>
      <c r="B61" s="536"/>
      <c r="C61" s="265" t="s">
        <v>400</v>
      </c>
      <c r="D61" s="266">
        <v>758</v>
      </c>
      <c r="E61" s="193">
        <f>165000</f>
        <v>165000</v>
      </c>
      <c r="F61" s="169">
        <f>145000+165000</f>
        <v>310000</v>
      </c>
    </row>
    <row r="62" spans="1:7" ht="15" customHeight="1" x14ac:dyDescent="0.25">
      <c r="A62" s="531" t="s">
        <v>189</v>
      </c>
      <c r="B62" s="534" t="s">
        <v>190</v>
      </c>
      <c r="C62" s="255" t="s">
        <v>394</v>
      </c>
      <c r="D62" s="256">
        <v>758</v>
      </c>
      <c r="E62" s="257">
        <f>SUM(E63:E68)</f>
        <v>120000</v>
      </c>
      <c r="F62" s="258">
        <f>SUM(F63:F68)</f>
        <v>146888</v>
      </c>
    </row>
    <row r="63" spans="1:7" ht="45" x14ac:dyDescent="0.25">
      <c r="A63" s="532"/>
      <c r="B63" s="535"/>
      <c r="C63" s="260" t="s">
        <v>395</v>
      </c>
      <c r="D63" s="261">
        <v>758</v>
      </c>
      <c r="E63" s="170">
        <v>0</v>
      </c>
      <c r="F63" s="169">
        <v>0</v>
      </c>
    </row>
    <row r="64" spans="1:7" x14ac:dyDescent="0.25">
      <c r="A64" s="532"/>
      <c r="B64" s="535"/>
      <c r="C64" s="260" t="s">
        <v>396</v>
      </c>
      <c r="D64" s="261">
        <v>758</v>
      </c>
      <c r="E64" s="170">
        <v>10000</v>
      </c>
      <c r="F64" s="169">
        <v>0</v>
      </c>
    </row>
    <row r="65" spans="1:6" x14ac:dyDescent="0.25">
      <c r="A65" s="532"/>
      <c r="B65" s="535"/>
      <c r="C65" s="260" t="s">
        <v>397</v>
      </c>
      <c r="D65" s="261">
        <v>758</v>
      </c>
      <c r="E65" s="170">
        <v>0</v>
      </c>
      <c r="F65" s="169">
        <v>0</v>
      </c>
    </row>
    <row r="66" spans="1:6" ht="30" x14ac:dyDescent="0.25">
      <c r="A66" s="532"/>
      <c r="B66" s="535"/>
      <c r="C66" s="260" t="s">
        <v>398</v>
      </c>
      <c r="D66" s="261">
        <v>758</v>
      </c>
      <c r="E66" s="170">
        <v>0</v>
      </c>
      <c r="F66" s="169">
        <v>0</v>
      </c>
    </row>
    <row r="67" spans="1:6" ht="30" x14ac:dyDescent="0.25">
      <c r="A67" s="532"/>
      <c r="B67" s="535"/>
      <c r="C67" s="260" t="s">
        <v>399</v>
      </c>
      <c r="D67" s="261">
        <v>758</v>
      </c>
      <c r="E67" s="170">
        <v>0</v>
      </c>
      <c r="F67" s="169">
        <v>0</v>
      </c>
    </row>
    <row r="68" spans="1:6" ht="15.75" thickBot="1" x14ac:dyDescent="0.3">
      <c r="A68" s="533"/>
      <c r="B68" s="536"/>
      <c r="C68" s="265" t="s">
        <v>400</v>
      </c>
      <c r="D68" s="266">
        <v>758</v>
      </c>
      <c r="E68" s="193">
        <v>110000</v>
      </c>
      <c r="F68" s="169">
        <f>144887+2001</f>
        <v>146888</v>
      </c>
    </row>
    <row r="69" spans="1:6" ht="15" customHeight="1" x14ac:dyDescent="0.25">
      <c r="A69" s="531" t="s">
        <v>192</v>
      </c>
      <c r="B69" s="534" t="s">
        <v>193</v>
      </c>
      <c r="C69" s="255" t="s">
        <v>394</v>
      </c>
      <c r="D69" s="256">
        <v>758</v>
      </c>
      <c r="E69" s="257">
        <f>SUM(E70:E75)</f>
        <v>1200000</v>
      </c>
      <c r="F69" s="258">
        <f>SUM(F70:F75)</f>
        <v>1055000</v>
      </c>
    </row>
    <row r="70" spans="1:6" ht="45" x14ac:dyDescent="0.25">
      <c r="A70" s="532"/>
      <c r="B70" s="535"/>
      <c r="C70" s="260" t="s">
        <v>395</v>
      </c>
      <c r="D70" s="261">
        <v>758</v>
      </c>
      <c r="E70" s="170">
        <v>0</v>
      </c>
      <c r="F70" s="169">
        <v>0</v>
      </c>
    </row>
    <row r="71" spans="1:6" x14ac:dyDescent="0.25">
      <c r="A71" s="532"/>
      <c r="B71" s="535"/>
      <c r="C71" s="260" t="s">
        <v>396</v>
      </c>
      <c r="D71" s="261">
        <v>758</v>
      </c>
      <c r="E71" s="170">
        <f>200000+30000</f>
        <v>230000</v>
      </c>
      <c r="F71" s="169">
        <v>230000</v>
      </c>
    </row>
    <row r="72" spans="1:6" x14ac:dyDescent="0.25">
      <c r="A72" s="532"/>
      <c r="B72" s="535"/>
      <c r="C72" s="260" t="s">
        <v>397</v>
      </c>
      <c r="D72" s="261">
        <v>758</v>
      </c>
      <c r="E72" s="170">
        <v>0</v>
      </c>
      <c r="F72" s="169">
        <v>0</v>
      </c>
    </row>
    <row r="73" spans="1:6" ht="30" x14ac:dyDescent="0.25">
      <c r="A73" s="532"/>
      <c r="B73" s="535"/>
      <c r="C73" s="260" t="s">
        <v>398</v>
      </c>
      <c r="D73" s="261">
        <v>758</v>
      </c>
      <c r="E73" s="170">
        <v>0</v>
      </c>
      <c r="F73" s="169">
        <v>0</v>
      </c>
    </row>
    <row r="74" spans="1:6" ht="30" x14ac:dyDescent="0.25">
      <c r="A74" s="532"/>
      <c r="B74" s="535"/>
      <c r="C74" s="260" t="s">
        <v>399</v>
      </c>
      <c r="D74" s="261">
        <v>758</v>
      </c>
      <c r="E74" s="170">
        <v>0</v>
      </c>
      <c r="F74" s="169">
        <v>0</v>
      </c>
    </row>
    <row r="75" spans="1:6" ht="15.75" thickBot="1" x14ac:dyDescent="0.3">
      <c r="A75" s="533"/>
      <c r="B75" s="536"/>
      <c r="C75" s="265" t="s">
        <v>400</v>
      </c>
      <c r="D75" s="266">
        <v>758</v>
      </c>
      <c r="E75" s="193">
        <f>970000</f>
        <v>970000</v>
      </c>
      <c r="F75" s="169">
        <f>525000+300000</f>
        <v>825000</v>
      </c>
    </row>
    <row r="76" spans="1:6" ht="15" customHeight="1" x14ac:dyDescent="0.25">
      <c r="A76" s="531" t="s">
        <v>195</v>
      </c>
      <c r="B76" s="534" t="s">
        <v>196</v>
      </c>
      <c r="C76" s="255" t="s">
        <v>394</v>
      </c>
      <c r="D76" s="256">
        <v>758</v>
      </c>
      <c r="E76" s="257">
        <f>SUM(E77:E82)</f>
        <v>0</v>
      </c>
      <c r="F76" s="258">
        <f>SUM(F77:F82)</f>
        <v>0</v>
      </c>
    </row>
    <row r="77" spans="1:6" ht="45" x14ac:dyDescent="0.25">
      <c r="A77" s="532"/>
      <c r="B77" s="535"/>
      <c r="C77" s="260" t="s">
        <v>395</v>
      </c>
      <c r="D77" s="261">
        <v>758</v>
      </c>
      <c r="E77" s="170">
        <v>0</v>
      </c>
      <c r="F77" s="169">
        <v>0</v>
      </c>
    </row>
    <row r="78" spans="1:6" x14ac:dyDescent="0.25">
      <c r="A78" s="532"/>
      <c r="B78" s="535"/>
      <c r="C78" s="260" t="s">
        <v>396</v>
      </c>
      <c r="D78" s="261">
        <v>758</v>
      </c>
      <c r="E78" s="170">
        <v>0</v>
      </c>
      <c r="F78" s="169">
        <v>0</v>
      </c>
    </row>
    <row r="79" spans="1:6" x14ac:dyDescent="0.25">
      <c r="A79" s="532"/>
      <c r="B79" s="535"/>
      <c r="C79" s="260" t="s">
        <v>397</v>
      </c>
      <c r="D79" s="261">
        <v>758</v>
      </c>
      <c r="E79" s="170">
        <v>0</v>
      </c>
      <c r="F79" s="169">
        <v>0</v>
      </c>
    </row>
    <row r="80" spans="1:6" ht="30" x14ac:dyDescent="0.25">
      <c r="A80" s="532"/>
      <c r="B80" s="535"/>
      <c r="C80" s="260" t="s">
        <v>398</v>
      </c>
      <c r="D80" s="261">
        <v>758</v>
      </c>
      <c r="E80" s="170">
        <v>0</v>
      </c>
      <c r="F80" s="169">
        <v>0</v>
      </c>
    </row>
    <row r="81" spans="1:6" ht="30" x14ac:dyDescent="0.25">
      <c r="A81" s="532"/>
      <c r="B81" s="535"/>
      <c r="C81" s="260" t="s">
        <v>399</v>
      </c>
      <c r="D81" s="261">
        <v>758</v>
      </c>
      <c r="E81" s="170">
        <v>0</v>
      </c>
      <c r="F81" s="169">
        <v>0</v>
      </c>
    </row>
    <row r="82" spans="1:6" ht="15.75" thickBot="1" x14ac:dyDescent="0.3">
      <c r="A82" s="533"/>
      <c r="B82" s="536"/>
      <c r="C82" s="265" t="s">
        <v>400</v>
      </c>
      <c r="D82" s="266">
        <v>758</v>
      </c>
      <c r="E82" s="193">
        <v>0</v>
      </c>
      <c r="F82" s="169">
        <v>0</v>
      </c>
    </row>
    <row r="83" spans="1:6" ht="15" customHeight="1" x14ac:dyDescent="0.25">
      <c r="A83" s="531" t="s">
        <v>198</v>
      </c>
      <c r="B83" s="534" t="s">
        <v>199</v>
      </c>
      <c r="C83" s="255" t="s">
        <v>394</v>
      </c>
      <c r="D83" s="256">
        <v>758</v>
      </c>
      <c r="E83" s="257">
        <f>SUM(E84:E89)</f>
        <v>86000</v>
      </c>
      <c r="F83" s="258">
        <f>SUM(F84:F89)</f>
        <v>68875</v>
      </c>
    </row>
    <row r="84" spans="1:6" ht="45" x14ac:dyDescent="0.25">
      <c r="A84" s="532"/>
      <c r="B84" s="535"/>
      <c r="C84" s="260" t="s">
        <v>395</v>
      </c>
      <c r="D84" s="261">
        <v>758</v>
      </c>
      <c r="E84" s="170">
        <v>0</v>
      </c>
      <c r="F84" s="169">
        <v>0</v>
      </c>
    </row>
    <row r="85" spans="1:6" x14ac:dyDescent="0.25">
      <c r="A85" s="532"/>
      <c r="B85" s="535"/>
      <c r="C85" s="260" t="s">
        <v>396</v>
      </c>
      <c r="D85" s="261">
        <v>758</v>
      </c>
      <c r="E85" s="170">
        <v>16000</v>
      </c>
      <c r="F85" s="169">
        <v>0</v>
      </c>
    </row>
    <row r="86" spans="1:6" x14ac:dyDescent="0.25">
      <c r="A86" s="532"/>
      <c r="B86" s="535"/>
      <c r="C86" s="260" t="s">
        <v>397</v>
      </c>
      <c r="D86" s="261">
        <v>758</v>
      </c>
      <c r="E86" s="170">
        <v>0</v>
      </c>
      <c r="F86" s="169">
        <v>0</v>
      </c>
    </row>
    <row r="87" spans="1:6" ht="30" x14ac:dyDescent="0.25">
      <c r="A87" s="532"/>
      <c r="B87" s="535"/>
      <c r="C87" s="260" t="s">
        <v>398</v>
      </c>
      <c r="D87" s="261">
        <v>758</v>
      </c>
      <c r="E87" s="170">
        <v>0</v>
      </c>
      <c r="F87" s="169">
        <v>0</v>
      </c>
    </row>
    <row r="88" spans="1:6" ht="30" x14ac:dyDescent="0.25">
      <c r="A88" s="532"/>
      <c r="B88" s="535"/>
      <c r="C88" s="260" t="s">
        <v>399</v>
      </c>
      <c r="D88" s="261">
        <v>758</v>
      </c>
      <c r="E88" s="170">
        <v>0</v>
      </c>
      <c r="F88" s="169">
        <v>0</v>
      </c>
    </row>
    <row r="89" spans="1:6" ht="15.75" thickBot="1" x14ac:dyDescent="0.3">
      <c r="A89" s="533"/>
      <c r="B89" s="536"/>
      <c r="C89" s="265" t="s">
        <v>400</v>
      </c>
      <c r="D89" s="266">
        <v>758</v>
      </c>
      <c r="E89" s="193">
        <v>70000</v>
      </c>
      <c r="F89" s="169">
        <f>30425+38450</f>
        <v>68875</v>
      </c>
    </row>
    <row r="90" spans="1:6" ht="15" customHeight="1" x14ac:dyDescent="0.25">
      <c r="A90" s="531" t="s">
        <v>201</v>
      </c>
      <c r="B90" s="534" t="s">
        <v>202</v>
      </c>
      <c r="C90" s="255" t="s">
        <v>394</v>
      </c>
      <c r="D90" s="256">
        <v>758</v>
      </c>
      <c r="E90" s="257">
        <f>SUM(E91:E96)</f>
        <v>200000</v>
      </c>
      <c r="F90" s="258">
        <f>SUM(F91:F96)</f>
        <v>40000</v>
      </c>
    </row>
    <row r="91" spans="1:6" ht="45" x14ac:dyDescent="0.25">
      <c r="A91" s="532"/>
      <c r="B91" s="535"/>
      <c r="C91" s="260" t="s">
        <v>395</v>
      </c>
      <c r="D91" s="261">
        <v>758</v>
      </c>
      <c r="E91" s="170">
        <v>0</v>
      </c>
      <c r="F91" s="169">
        <v>0</v>
      </c>
    </row>
    <row r="92" spans="1:6" x14ac:dyDescent="0.25">
      <c r="A92" s="532"/>
      <c r="B92" s="535"/>
      <c r="C92" s="260" t="s">
        <v>396</v>
      </c>
      <c r="D92" s="261">
        <v>758</v>
      </c>
      <c r="E92" s="170">
        <v>0</v>
      </c>
      <c r="F92" s="169">
        <v>0</v>
      </c>
    </row>
    <row r="93" spans="1:6" x14ac:dyDescent="0.25">
      <c r="A93" s="532"/>
      <c r="B93" s="535"/>
      <c r="C93" s="260" t="s">
        <v>397</v>
      </c>
      <c r="D93" s="261">
        <v>758</v>
      </c>
      <c r="E93" s="170">
        <v>0</v>
      </c>
      <c r="F93" s="169">
        <v>0</v>
      </c>
    </row>
    <row r="94" spans="1:6" ht="30" x14ac:dyDescent="0.25">
      <c r="A94" s="532"/>
      <c r="B94" s="535"/>
      <c r="C94" s="260" t="s">
        <v>398</v>
      </c>
      <c r="D94" s="261">
        <v>758</v>
      </c>
      <c r="E94" s="170">
        <v>0</v>
      </c>
      <c r="F94" s="169">
        <v>0</v>
      </c>
    </row>
    <row r="95" spans="1:6" ht="30" x14ac:dyDescent="0.25">
      <c r="A95" s="532"/>
      <c r="B95" s="535"/>
      <c r="C95" s="260" t="s">
        <v>399</v>
      </c>
      <c r="D95" s="261">
        <v>758</v>
      </c>
      <c r="E95" s="170">
        <v>0</v>
      </c>
      <c r="F95" s="169">
        <v>0</v>
      </c>
    </row>
    <row r="96" spans="1:6" ht="15.75" thickBot="1" x14ac:dyDescent="0.3">
      <c r="A96" s="533"/>
      <c r="B96" s="536"/>
      <c r="C96" s="265" t="s">
        <v>400</v>
      </c>
      <c r="D96" s="266">
        <v>758</v>
      </c>
      <c r="E96" s="193">
        <v>200000</v>
      </c>
      <c r="F96" s="169">
        <v>40000</v>
      </c>
    </row>
    <row r="97" spans="1:8" ht="15" customHeight="1" x14ac:dyDescent="0.25">
      <c r="A97" s="531" t="s">
        <v>204</v>
      </c>
      <c r="B97" s="534" t="s">
        <v>401</v>
      </c>
      <c r="C97" s="255" t="s">
        <v>394</v>
      </c>
      <c r="D97" s="256">
        <v>758</v>
      </c>
      <c r="E97" s="267">
        <f>SUM(E98:E103)</f>
        <v>1500</v>
      </c>
      <c r="F97" s="258">
        <f>SUM(F98:F103)</f>
        <v>1390</v>
      </c>
    </row>
    <row r="98" spans="1:8" ht="45" x14ac:dyDescent="0.25">
      <c r="A98" s="532"/>
      <c r="B98" s="535"/>
      <c r="C98" s="260" t="s">
        <v>395</v>
      </c>
      <c r="D98" s="261">
        <v>758</v>
      </c>
      <c r="E98" s="170">
        <v>0</v>
      </c>
      <c r="F98" s="169">
        <v>0</v>
      </c>
    </row>
    <row r="99" spans="1:8" x14ac:dyDescent="0.25">
      <c r="A99" s="532"/>
      <c r="B99" s="535"/>
      <c r="C99" s="260" t="s">
        <v>396</v>
      </c>
      <c r="D99" s="261">
        <v>758</v>
      </c>
      <c r="E99" s="170">
        <f>1500+322.7-322.7</f>
        <v>1500</v>
      </c>
      <c r="F99" s="169">
        <v>1390</v>
      </c>
    </row>
    <row r="100" spans="1:8" x14ac:dyDescent="0.25">
      <c r="A100" s="532"/>
      <c r="B100" s="535"/>
      <c r="C100" s="260" t="s">
        <v>397</v>
      </c>
      <c r="D100" s="261">
        <v>758</v>
      </c>
      <c r="E100" s="170">
        <v>0</v>
      </c>
      <c r="F100" s="169">
        <v>0</v>
      </c>
    </row>
    <row r="101" spans="1:8" ht="30" x14ac:dyDescent="0.25">
      <c r="A101" s="532"/>
      <c r="B101" s="535"/>
      <c r="C101" s="260" t="s">
        <v>398</v>
      </c>
      <c r="D101" s="261">
        <v>758</v>
      </c>
      <c r="E101" s="170">
        <v>0</v>
      </c>
      <c r="F101" s="169">
        <v>0</v>
      </c>
    </row>
    <row r="102" spans="1:8" ht="30" x14ac:dyDescent="0.25">
      <c r="A102" s="532"/>
      <c r="B102" s="535"/>
      <c r="C102" s="260" t="s">
        <v>399</v>
      </c>
      <c r="D102" s="261">
        <v>758</v>
      </c>
      <c r="E102" s="170">
        <v>0</v>
      </c>
      <c r="F102" s="169">
        <v>0</v>
      </c>
    </row>
    <row r="103" spans="1:8" ht="15.75" thickBot="1" x14ac:dyDescent="0.3">
      <c r="A103" s="533"/>
      <c r="B103" s="536"/>
      <c r="C103" s="265" t="s">
        <v>400</v>
      </c>
      <c r="D103" s="266">
        <v>758</v>
      </c>
      <c r="E103" s="268">
        <v>0</v>
      </c>
      <c r="F103" s="169">
        <v>0</v>
      </c>
    </row>
    <row r="104" spans="1:8" ht="15" customHeight="1" x14ac:dyDescent="0.25">
      <c r="A104" s="537" t="s">
        <v>208</v>
      </c>
      <c r="B104" s="538" t="s">
        <v>64</v>
      </c>
      <c r="C104" s="255" t="s">
        <v>394</v>
      </c>
      <c r="D104" s="256">
        <v>758</v>
      </c>
      <c r="E104" s="257">
        <f>SUM(E105:E110)</f>
        <v>2688024.0350000001</v>
      </c>
      <c r="F104" s="258">
        <f>F111+F118+F125+F132</f>
        <v>46467145.660000004</v>
      </c>
    </row>
    <row r="105" spans="1:8" ht="45" x14ac:dyDescent="0.25">
      <c r="A105" s="532"/>
      <c r="B105" s="539"/>
      <c r="C105" s="260" t="s">
        <v>395</v>
      </c>
      <c r="D105" s="261">
        <v>758</v>
      </c>
      <c r="E105" s="170">
        <f t="shared" ref="E105:F110" si="2">E112+E119+E126+E133</f>
        <v>480745.44499999995</v>
      </c>
      <c r="F105" s="169">
        <f t="shared" si="2"/>
        <v>330712.49</v>
      </c>
      <c r="G105" s="175"/>
    </row>
    <row r="106" spans="1:8" x14ac:dyDescent="0.25">
      <c r="A106" s="532"/>
      <c r="B106" s="539"/>
      <c r="C106" s="260" t="s">
        <v>396</v>
      </c>
      <c r="D106" s="261">
        <v>758</v>
      </c>
      <c r="E106" s="170">
        <f t="shared" si="2"/>
        <v>166388.59</v>
      </c>
      <c r="F106" s="169">
        <f t="shared" si="2"/>
        <v>117249.76999999999</v>
      </c>
    </row>
    <row r="107" spans="1:8" x14ac:dyDescent="0.25">
      <c r="A107" s="532"/>
      <c r="B107" s="539"/>
      <c r="C107" s="260" t="s">
        <v>397</v>
      </c>
      <c r="D107" s="261">
        <v>758</v>
      </c>
      <c r="E107" s="170">
        <f t="shared" si="2"/>
        <v>0</v>
      </c>
      <c r="F107" s="169">
        <f t="shared" si="2"/>
        <v>0</v>
      </c>
    </row>
    <row r="108" spans="1:8" ht="30" x14ac:dyDescent="0.25">
      <c r="A108" s="532"/>
      <c r="B108" s="539"/>
      <c r="C108" s="260" t="s">
        <v>398</v>
      </c>
      <c r="D108" s="261">
        <v>758</v>
      </c>
      <c r="E108" s="170">
        <f t="shared" si="2"/>
        <v>0</v>
      </c>
      <c r="F108" s="169">
        <f t="shared" si="2"/>
        <v>0</v>
      </c>
    </row>
    <row r="109" spans="1:8" ht="30" x14ac:dyDescent="0.25">
      <c r="A109" s="532"/>
      <c r="B109" s="539"/>
      <c r="C109" s="260" t="s">
        <v>399</v>
      </c>
      <c r="D109" s="261">
        <v>758</v>
      </c>
      <c r="E109" s="170">
        <f t="shared" si="2"/>
        <v>0</v>
      </c>
      <c r="F109" s="169">
        <f t="shared" si="2"/>
        <v>0</v>
      </c>
    </row>
    <row r="110" spans="1:8" ht="15.75" thickBot="1" x14ac:dyDescent="0.3">
      <c r="A110" s="533"/>
      <c r="B110" s="540"/>
      <c r="C110" s="265" t="s">
        <v>400</v>
      </c>
      <c r="D110" s="266">
        <v>758</v>
      </c>
      <c r="E110" s="193">
        <f t="shared" si="2"/>
        <v>2040890</v>
      </c>
      <c r="F110" s="192">
        <f t="shared" si="2"/>
        <v>46019183.399999999</v>
      </c>
    </row>
    <row r="111" spans="1:8" ht="15" customHeight="1" x14ac:dyDescent="0.25">
      <c r="A111" s="541" t="s">
        <v>209</v>
      </c>
      <c r="B111" s="542" t="s">
        <v>210</v>
      </c>
      <c r="C111" s="269" t="s">
        <v>394</v>
      </c>
      <c r="D111" s="256">
        <v>758</v>
      </c>
      <c r="E111" s="267">
        <f>SUM(E112:E117)</f>
        <v>980226.68799999997</v>
      </c>
      <c r="F111" s="270">
        <f>SUM(F112:F117)</f>
        <v>42921454.950000003</v>
      </c>
      <c r="G111" s="175"/>
    </row>
    <row r="112" spans="1:8" ht="45" x14ac:dyDescent="0.25">
      <c r="A112" s="532"/>
      <c r="B112" s="535"/>
      <c r="C112" s="260" t="s">
        <v>395</v>
      </c>
      <c r="D112" s="261">
        <v>758</v>
      </c>
      <c r="E112" s="170">
        <f>53897.7+2604.398+338002.4+7443.6</f>
        <v>401948.098</v>
      </c>
      <c r="F112" s="169">
        <f>56482.8+196150.58</f>
        <v>252633.38</v>
      </c>
      <c r="G112" s="175"/>
      <c r="H112" s="175"/>
    </row>
    <row r="113" spans="1:7" x14ac:dyDescent="0.25">
      <c r="A113" s="532"/>
      <c r="B113" s="535"/>
      <c r="C113" s="260" t="s">
        <v>396</v>
      </c>
      <c r="D113" s="261">
        <v>758</v>
      </c>
      <c r="E113" s="170">
        <f>113388.59+677.3-10000-677.3</f>
        <v>103388.59</v>
      </c>
      <c r="F113" s="169">
        <v>68821.570000000007</v>
      </c>
    </row>
    <row r="114" spans="1:7" x14ac:dyDescent="0.25">
      <c r="A114" s="532"/>
      <c r="B114" s="535"/>
      <c r="C114" s="260" t="s">
        <v>397</v>
      </c>
      <c r="D114" s="261">
        <v>758</v>
      </c>
      <c r="E114" s="170">
        <v>0</v>
      </c>
      <c r="F114" s="169">
        <v>0</v>
      </c>
    </row>
    <row r="115" spans="1:7" ht="30" x14ac:dyDescent="0.25">
      <c r="A115" s="532"/>
      <c r="B115" s="535"/>
      <c r="C115" s="260" t="s">
        <v>398</v>
      </c>
      <c r="D115" s="261">
        <v>758</v>
      </c>
      <c r="E115" s="170">
        <v>0</v>
      </c>
      <c r="F115" s="169">
        <v>0</v>
      </c>
    </row>
    <row r="116" spans="1:7" ht="30" x14ac:dyDescent="0.25">
      <c r="A116" s="532"/>
      <c r="B116" s="535"/>
      <c r="C116" s="260" t="s">
        <v>399</v>
      </c>
      <c r="D116" s="261">
        <v>758</v>
      </c>
      <c r="E116" s="170">
        <v>0</v>
      </c>
      <c r="F116" s="169">
        <v>0</v>
      </c>
    </row>
    <row r="117" spans="1:7" ht="15.75" thickBot="1" x14ac:dyDescent="0.3">
      <c r="A117" s="533"/>
      <c r="B117" s="536"/>
      <c r="C117" s="265" t="s">
        <v>400</v>
      </c>
      <c r="D117" s="266">
        <v>758</v>
      </c>
      <c r="E117" s="193">
        <v>474890</v>
      </c>
      <c r="F117" s="192">
        <f>42600000</f>
        <v>42600000</v>
      </c>
    </row>
    <row r="118" spans="1:7" ht="15" customHeight="1" x14ac:dyDescent="0.25">
      <c r="A118" s="531" t="s">
        <v>213</v>
      </c>
      <c r="B118" s="534" t="s">
        <v>214</v>
      </c>
      <c r="C118" s="255" t="s">
        <v>394</v>
      </c>
      <c r="D118" s="256">
        <v>758</v>
      </c>
      <c r="E118" s="257">
        <f>SUM(E119:E124)</f>
        <v>1406225.2080000001</v>
      </c>
      <c r="F118" s="258">
        <f>SUM(F119:F124)</f>
        <v>3042687.1300000004</v>
      </c>
      <c r="G118" s="175"/>
    </row>
    <row r="119" spans="1:7" ht="45" x14ac:dyDescent="0.25">
      <c r="A119" s="532"/>
      <c r="B119" s="535"/>
      <c r="C119" s="260" t="s">
        <v>395</v>
      </c>
      <c r="D119" s="261">
        <v>758</v>
      </c>
      <c r="E119" s="170">
        <f>25246.3+7702.026+12506+15770.882</f>
        <v>61225.207999999999</v>
      </c>
      <c r="F119" s="169">
        <f>32426.48+28080.61</f>
        <v>60507.09</v>
      </c>
    </row>
    <row r="120" spans="1:7" x14ac:dyDescent="0.25">
      <c r="A120" s="532"/>
      <c r="B120" s="535"/>
      <c r="C120" s="260" t="s">
        <v>396</v>
      </c>
      <c r="D120" s="261">
        <v>758</v>
      </c>
      <c r="E120" s="170">
        <v>45000</v>
      </c>
      <c r="F120" s="169">
        <v>31959.84</v>
      </c>
    </row>
    <row r="121" spans="1:7" x14ac:dyDescent="0.25">
      <c r="A121" s="532"/>
      <c r="B121" s="535"/>
      <c r="C121" s="260" t="s">
        <v>397</v>
      </c>
      <c r="D121" s="261">
        <v>758</v>
      </c>
      <c r="E121" s="170">
        <v>0</v>
      </c>
      <c r="F121" s="169">
        <v>0</v>
      </c>
    </row>
    <row r="122" spans="1:7" ht="30" x14ac:dyDescent="0.25">
      <c r="A122" s="532"/>
      <c r="B122" s="535"/>
      <c r="C122" s="260" t="s">
        <v>398</v>
      </c>
      <c r="D122" s="261">
        <v>758</v>
      </c>
      <c r="E122" s="170">
        <v>0</v>
      </c>
      <c r="F122" s="169">
        <v>0</v>
      </c>
    </row>
    <row r="123" spans="1:7" ht="30" x14ac:dyDescent="0.25">
      <c r="A123" s="532"/>
      <c r="B123" s="535"/>
      <c r="C123" s="260" t="s">
        <v>399</v>
      </c>
      <c r="D123" s="261">
        <v>758</v>
      </c>
      <c r="E123" s="170">
        <v>0</v>
      </c>
      <c r="F123" s="169">
        <v>0</v>
      </c>
    </row>
    <row r="124" spans="1:7" ht="15.75" thickBot="1" x14ac:dyDescent="0.3">
      <c r="A124" s="533"/>
      <c r="B124" s="536"/>
      <c r="C124" s="265" t="s">
        <v>400</v>
      </c>
      <c r="D124" s="266">
        <v>758</v>
      </c>
      <c r="E124" s="193">
        <v>1300000</v>
      </c>
      <c r="F124" s="169">
        <v>2950220.2</v>
      </c>
    </row>
    <row r="125" spans="1:7" ht="15" customHeight="1" x14ac:dyDescent="0.25">
      <c r="A125" s="531" t="s">
        <v>215</v>
      </c>
      <c r="B125" s="534" t="s">
        <v>216</v>
      </c>
      <c r="C125" s="255" t="s">
        <v>394</v>
      </c>
      <c r="D125" s="256">
        <v>758</v>
      </c>
      <c r="E125" s="267">
        <f>SUM(E126:E131)</f>
        <v>238942.986</v>
      </c>
      <c r="F125" s="258">
        <f>SUM(F126:F131)</f>
        <v>364779.94</v>
      </c>
    </row>
    <row r="126" spans="1:7" ht="45" x14ac:dyDescent="0.25">
      <c r="A126" s="532"/>
      <c r="B126" s="535"/>
      <c r="C126" s="260" t="s">
        <v>395</v>
      </c>
      <c r="D126" s="261">
        <v>758</v>
      </c>
      <c r="E126" s="170">
        <f>4668.5+2274.486</f>
        <v>6942.9859999999999</v>
      </c>
      <c r="F126" s="169">
        <f>6942.99</f>
        <v>6942.99</v>
      </c>
    </row>
    <row r="127" spans="1:7" x14ac:dyDescent="0.25">
      <c r="A127" s="532"/>
      <c r="B127" s="535"/>
      <c r="C127" s="260" t="s">
        <v>396</v>
      </c>
      <c r="D127" s="261">
        <v>758</v>
      </c>
      <c r="E127" s="170">
        <v>3000</v>
      </c>
      <c r="F127" s="169">
        <v>1653.65</v>
      </c>
    </row>
    <row r="128" spans="1:7" x14ac:dyDescent="0.25">
      <c r="A128" s="532"/>
      <c r="B128" s="535"/>
      <c r="C128" s="260" t="s">
        <v>397</v>
      </c>
      <c r="D128" s="261">
        <v>758</v>
      </c>
      <c r="E128" s="170">
        <v>0</v>
      </c>
      <c r="F128" s="169">
        <v>0</v>
      </c>
    </row>
    <row r="129" spans="1:7" ht="30" x14ac:dyDescent="0.25">
      <c r="A129" s="532"/>
      <c r="B129" s="535"/>
      <c r="C129" s="260" t="s">
        <v>398</v>
      </c>
      <c r="D129" s="261">
        <v>758</v>
      </c>
      <c r="E129" s="170">
        <v>0</v>
      </c>
      <c r="F129" s="169">
        <v>0</v>
      </c>
    </row>
    <row r="130" spans="1:7" ht="30" x14ac:dyDescent="0.25">
      <c r="A130" s="532"/>
      <c r="B130" s="535"/>
      <c r="C130" s="260" t="s">
        <v>399</v>
      </c>
      <c r="D130" s="261">
        <v>758</v>
      </c>
      <c r="E130" s="170">
        <v>0</v>
      </c>
      <c r="F130" s="169">
        <v>0</v>
      </c>
    </row>
    <row r="131" spans="1:7" ht="15.75" thickBot="1" x14ac:dyDescent="0.3">
      <c r="A131" s="533"/>
      <c r="B131" s="536"/>
      <c r="C131" s="265" t="s">
        <v>400</v>
      </c>
      <c r="D131" s="266">
        <v>758</v>
      </c>
      <c r="E131" s="268">
        <v>229000</v>
      </c>
      <c r="F131" s="169">
        <f>137417.339+68765.961+150000</f>
        <v>356183.3</v>
      </c>
    </row>
    <row r="132" spans="1:7" ht="15" customHeight="1" x14ac:dyDescent="0.25">
      <c r="A132" s="531" t="s">
        <v>217</v>
      </c>
      <c r="B132" s="534" t="s">
        <v>218</v>
      </c>
      <c r="C132" s="255" t="s">
        <v>394</v>
      </c>
      <c r="D132" s="256">
        <v>758</v>
      </c>
      <c r="E132" s="257">
        <f>SUM(E133:E138)</f>
        <v>62629.152999999998</v>
      </c>
      <c r="F132" s="258">
        <f>SUM(F133:F138)</f>
        <v>138223.63999999998</v>
      </c>
    </row>
    <row r="133" spans="1:7" ht="45" x14ac:dyDescent="0.25">
      <c r="A133" s="532"/>
      <c r="B133" s="535"/>
      <c r="C133" s="260" t="s">
        <v>395</v>
      </c>
      <c r="D133" s="261">
        <v>758</v>
      </c>
      <c r="E133" s="170">
        <f>14645.5+8429.043+4925.2-13500-3870.59</f>
        <v>10629.152999999998</v>
      </c>
      <c r="F133" s="169">
        <f>9574.42+1054.61</f>
        <v>10629.03</v>
      </c>
    </row>
    <row r="134" spans="1:7" x14ac:dyDescent="0.25">
      <c r="A134" s="532"/>
      <c r="B134" s="535"/>
      <c r="C134" s="260" t="s">
        <v>396</v>
      </c>
      <c r="D134" s="261">
        <v>758</v>
      </c>
      <c r="E134" s="170">
        <v>15000</v>
      </c>
      <c r="F134" s="169">
        <v>14814.71</v>
      </c>
    </row>
    <row r="135" spans="1:7" x14ac:dyDescent="0.25">
      <c r="A135" s="532"/>
      <c r="B135" s="535"/>
      <c r="C135" s="260" t="s">
        <v>397</v>
      </c>
      <c r="D135" s="261">
        <v>758</v>
      </c>
      <c r="E135" s="170">
        <v>0</v>
      </c>
      <c r="F135" s="169">
        <v>0</v>
      </c>
    </row>
    <row r="136" spans="1:7" ht="30" x14ac:dyDescent="0.25">
      <c r="A136" s="532"/>
      <c r="B136" s="535"/>
      <c r="C136" s="260" t="s">
        <v>398</v>
      </c>
      <c r="D136" s="261">
        <v>758</v>
      </c>
      <c r="E136" s="170">
        <v>0</v>
      </c>
      <c r="F136" s="169">
        <v>0</v>
      </c>
    </row>
    <row r="137" spans="1:7" ht="30" x14ac:dyDescent="0.25">
      <c r="A137" s="532"/>
      <c r="B137" s="535"/>
      <c r="C137" s="260" t="s">
        <v>399</v>
      </c>
      <c r="D137" s="261">
        <v>758</v>
      </c>
      <c r="E137" s="170">
        <v>0</v>
      </c>
      <c r="F137" s="169">
        <v>0</v>
      </c>
    </row>
    <row r="138" spans="1:7" ht="15.75" thickBot="1" x14ac:dyDescent="0.3">
      <c r="A138" s="533"/>
      <c r="B138" s="536"/>
      <c r="C138" s="265" t="s">
        <v>400</v>
      </c>
      <c r="D138" s="266">
        <v>758</v>
      </c>
      <c r="E138" s="193">
        <v>37000</v>
      </c>
      <c r="F138" s="169">
        <f>13779.9+99000</f>
        <v>112779.9</v>
      </c>
    </row>
    <row r="139" spans="1:7" ht="15" customHeight="1" x14ac:dyDescent="0.25">
      <c r="A139" s="537" t="s">
        <v>220</v>
      </c>
      <c r="B139" s="538" t="s">
        <v>221</v>
      </c>
      <c r="C139" s="255" t="s">
        <v>394</v>
      </c>
      <c r="D139" s="256">
        <v>758</v>
      </c>
      <c r="E139" s="267">
        <f>SUM(E140:E145)</f>
        <v>80156.959999999992</v>
      </c>
      <c r="F139" s="258">
        <f t="shared" ref="F139:F144" si="3">F146+F153+F160+F167+F174</f>
        <v>79416.540000000008</v>
      </c>
    </row>
    <row r="140" spans="1:7" ht="45" x14ac:dyDescent="0.25">
      <c r="A140" s="532"/>
      <c r="B140" s="539"/>
      <c r="C140" s="260" t="s">
        <v>395</v>
      </c>
      <c r="D140" s="261">
        <v>758</v>
      </c>
      <c r="E140" s="170">
        <f t="shared" ref="E140:E145" si="4">E147+E154+E161+E168+E175</f>
        <v>44269</v>
      </c>
      <c r="F140" s="169">
        <f t="shared" si="3"/>
        <v>38338.54</v>
      </c>
      <c r="G140" s="175"/>
    </row>
    <row r="141" spans="1:7" x14ac:dyDescent="0.25">
      <c r="A141" s="532"/>
      <c r="B141" s="539"/>
      <c r="C141" s="260" t="s">
        <v>396</v>
      </c>
      <c r="D141" s="261">
        <v>758</v>
      </c>
      <c r="E141" s="170">
        <f t="shared" si="4"/>
        <v>32137.96</v>
      </c>
      <c r="F141" s="169">
        <f t="shared" si="3"/>
        <v>13578</v>
      </c>
    </row>
    <row r="142" spans="1:7" x14ac:dyDescent="0.25">
      <c r="A142" s="532"/>
      <c r="B142" s="539"/>
      <c r="C142" s="260" t="s">
        <v>397</v>
      </c>
      <c r="D142" s="261">
        <v>758</v>
      </c>
      <c r="E142" s="170">
        <f t="shared" si="4"/>
        <v>0</v>
      </c>
      <c r="F142" s="169">
        <f t="shared" si="3"/>
        <v>0</v>
      </c>
    </row>
    <row r="143" spans="1:7" ht="30" x14ac:dyDescent="0.25">
      <c r="A143" s="532"/>
      <c r="B143" s="539"/>
      <c r="C143" s="260" t="s">
        <v>398</v>
      </c>
      <c r="D143" s="261">
        <v>758</v>
      </c>
      <c r="E143" s="170">
        <f t="shared" si="4"/>
        <v>0</v>
      </c>
      <c r="F143" s="169">
        <f t="shared" si="3"/>
        <v>0</v>
      </c>
    </row>
    <row r="144" spans="1:7" ht="30" x14ac:dyDescent="0.25">
      <c r="A144" s="532"/>
      <c r="B144" s="539"/>
      <c r="C144" s="260" t="s">
        <v>399</v>
      </c>
      <c r="D144" s="261">
        <v>758</v>
      </c>
      <c r="E144" s="170">
        <f t="shared" si="4"/>
        <v>0</v>
      </c>
      <c r="F144" s="169">
        <f t="shared" si="3"/>
        <v>0</v>
      </c>
    </row>
    <row r="145" spans="1:6" ht="28.5" customHeight="1" thickBot="1" x14ac:dyDescent="0.3">
      <c r="A145" s="533"/>
      <c r="B145" s="540"/>
      <c r="C145" s="265" t="s">
        <v>400</v>
      </c>
      <c r="D145" s="266">
        <v>758</v>
      </c>
      <c r="E145" s="170">
        <f t="shared" si="4"/>
        <v>3750</v>
      </c>
      <c r="F145" s="192">
        <f>F152+F159+F166+F173+F180</f>
        <v>27500</v>
      </c>
    </row>
    <row r="146" spans="1:6" ht="15" customHeight="1" x14ac:dyDescent="0.25">
      <c r="A146" s="531" t="s">
        <v>222</v>
      </c>
      <c r="B146" s="534" t="s">
        <v>223</v>
      </c>
      <c r="C146" s="255" t="s">
        <v>394</v>
      </c>
      <c r="D146" s="256">
        <v>758</v>
      </c>
      <c r="E146" s="257">
        <f>SUM(E147:E152)</f>
        <v>0</v>
      </c>
      <c r="F146" s="258">
        <f>SUM(F147:F152)</f>
        <v>0</v>
      </c>
    </row>
    <row r="147" spans="1:6" ht="45" customHeight="1" x14ac:dyDescent="0.25">
      <c r="A147" s="532"/>
      <c r="B147" s="535"/>
      <c r="C147" s="260" t="s">
        <v>395</v>
      </c>
      <c r="D147" s="261">
        <v>758</v>
      </c>
      <c r="E147" s="170">
        <v>0</v>
      </c>
      <c r="F147" s="169">
        <v>0</v>
      </c>
    </row>
    <row r="148" spans="1:6" ht="15" customHeight="1" x14ac:dyDescent="0.25">
      <c r="A148" s="532"/>
      <c r="B148" s="535"/>
      <c r="C148" s="260" t="s">
        <v>396</v>
      </c>
      <c r="D148" s="261">
        <v>758</v>
      </c>
      <c r="E148" s="170">
        <v>0</v>
      </c>
      <c r="F148" s="169">
        <v>0</v>
      </c>
    </row>
    <row r="149" spans="1:6" ht="15" customHeight="1" x14ac:dyDescent="0.25">
      <c r="A149" s="532"/>
      <c r="B149" s="535"/>
      <c r="C149" s="260" t="s">
        <v>397</v>
      </c>
      <c r="D149" s="261">
        <v>758</v>
      </c>
      <c r="E149" s="170">
        <v>0</v>
      </c>
      <c r="F149" s="169">
        <v>0</v>
      </c>
    </row>
    <row r="150" spans="1:6" ht="29.25" customHeight="1" x14ac:dyDescent="0.25">
      <c r="A150" s="532"/>
      <c r="B150" s="535"/>
      <c r="C150" s="260" t="s">
        <v>398</v>
      </c>
      <c r="D150" s="261">
        <v>758</v>
      </c>
      <c r="E150" s="170">
        <v>0</v>
      </c>
      <c r="F150" s="169">
        <v>0</v>
      </c>
    </row>
    <row r="151" spans="1:6" ht="32.25" customHeight="1" x14ac:dyDescent="0.25">
      <c r="A151" s="532"/>
      <c r="B151" s="535"/>
      <c r="C151" s="260" t="s">
        <v>399</v>
      </c>
      <c r="D151" s="261">
        <v>758</v>
      </c>
      <c r="E151" s="170">
        <v>0</v>
      </c>
      <c r="F151" s="169">
        <v>0</v>
      </c>
    </row>
    <row r="152" spans="1:6" ht="15" customHeight="1" thickBot="1" x14ac:dyDescent="0.3">
      <c r="A152" s="533"/>
      <c r="B152" s="536"/>
      <c r="C152" s="265" t="s">
        <v>400</v>
      </c>
      <c r="D152" s="266">
        <v>758</v>
      </c>
      <c r="E152" s="193">
        <v>0</v>
      </c>
      <c r="F152" s="192">
        <v>0</v>
      </c>
    </row>
    <row r="153" spans="1:6" ht="15" customHeight="1" x14ac:dyDescent="0.25">
      <c r="A153" s="541" t="s">
        <v>226</v>
      </c>
      <c r="B153" s="542" t="s">
        <v>227</v>
      </c>
      <c r="C153" s="269" t="s">
        <v>394</v>
      </c>
      <c r="D153" s="256">
        <v>758</v>
      </c>
      <c r="E153" s="267">
        <f>SUM(E154:E159)</f>
        <v>62706.96</v>
      </c>
      <c r="F153" s="270">
        <f>SUM(F154:F159)</f>
        <v>63338.54</v>
      </c>
    </row>
    <row r="154" spans="1:6" ht="42.75" customHeight="1" x14ac:dyDescent="0.25">
      <c r="A154" s="532"/>
      <c r="B154" s="535"/>
      <c r="C154" s="260" t="s">
        <v>395</v>
      </c>
      <c r="D154" s="261">
        <v>758</v>
      </c>
      <c r="E154" s="170">
        <f>44269</f>
        <v>44269</v>
      </c>
      <c r="F154" s="169">
        <f>38338.54</f>
        <v>38338.54</v>
      </c>
    </row>
    <row r="155" spans="1:6" ht="15" customHeight="1" x14ac:dyDescent="0.25">
      <c r="A155" s="532"/>
      <c r="B155" s="535"/>
      <c r="C155" s="260" t="s">
        <v>396</v>
      </c>
      <c r="D155" s="261">
        <v>758</v>
      </c>
      <c r="E155" s="262">
        <f>40000-21562.04</f>
        <v>18437.96</v>
      </c>
      <c r="F155" s="169">
        <v>0</v>
      </c>
    </row>
    <row r="156" spans="1:6" ht="15" customHeight="1" x14ac:dyDescent="0.25">
      <c r="A156" s="532"/>
      <c r="B156" s="535"/>
      <c r="C156" s="260" t="s">
        <v>397</v>
      </c>
      <c r="D156" s="261">
        <v>758</v>
      </c>
      <c r="E156" s="170">
        <v>0</v>
      </c>
      <c r="F156" s="169">
        <v>0</v>
      </c>
    </row>
    <row r="157" spans="1:6" ht="26.25" customHeight="1" x14ac:dyDescent="0.25">
      <c r="A157" s="532"/>
      <c r="B157" s="535"/>
      <c r="C157" s="260" t="s">
        <v>398</v>
      </c>
      <c r="D157" s="261">
        <v>758</v>
      </c>
      <c r="E157" s="170">
        <v>0</v>
      </c>
      <c r="F157" s="169">
        <v>0</v>
      </c>
    </row>
    <row r="158" spans="1:6" ht="29.25" customHeight="1" x14ac:dyDescent="0.25">
      <c r="A158" s="532"/>
      <c r="B158" s="535"/>
      <c r="C158" s="260" t="s">
        <v>399</v>
      </c>
      <c r="D158" s="261">
        <v>758</v>
      </c>
      <c r="E158" s="170">
        <v>0</v>
      </c>
      <c r="F158" s="169">
        <v>0</v>
      </c>
    </row>
    <row r="159" spans="1:6" ht="15" customHeight="1" thickBot="1" x14ac:dyDescent="0.3">
      <c r="A159" s="533"/>
      <c r="B159" s="536"/>
      <c r="C159" s="265" t="s">
        <v>400</v>
      </c>
      <c r="D159" s="266">
        <v>758</v>
      </c>
      <c r="E159" s="193">
        <v>0</v>
      </c>
      <c r="F159" s="192">
        <v>25000</v>
      </c>
    </row>
    <row r="160" spans="1:6" ht="15" customHeight="1" x14ac:dyDescent="0.25">
      <c r="A160" s="531" t="s">
        <v>228</v>
      </c>
      <c r="B160" s="534" t="s">
        <v>229</v>
      </c>
      <c r="C160" s="255" t="s">
        <v>394</v>
      </c>
      <c r="D160" s="256">
        <v>758</v>
      </c>
      <c r="E160" s="257">
        <f>SUM(E161:E166)</f>
        <v>0</v>
      </c>
      <c r="F160" s="258">
        <f>SUM(F161:F166)</f>
        <v>0</v>
      </c>
    </row>
    <row r="161" spans="1:6" ht="53.25" customHeight="1" x14ac:dyDescent="0.25">
      <c r="A161" s="532"/>
      <c r="B161" s="535"/>
      <c r="C161" s="260" t="s">
        <v>395</v>
      </c>
      <c r="D161" s="261">
        <v>758</v>
      </c>
      <c r="E161" s="170">
        <v>0</v>
      </c>
      <c r="F161" s="169">
        <v>0</v>
      </c>
    </row>
    <row r="162" spans="1:6" ht="15" customHeight="1" x14ac:dyDescent="0.25">
      <c r="A162" s="532"/>
      <c r="B162" s="535"/>
      <c r="C162" s="260" t="s">
        <v>396</v>
      </c>
      <c r="D162" s="261">
        <v>758</v>
      </c>
      <c r="E162" s="170">
        <v>0</v>
      </c>
      <c r="F162" s="169">
        <v>0</v>
      </c>
    </row>
    <row r="163" spans="1:6" ht="15" customHeight="1" x14ac:dyDescent="0.25">
      <c r="A163" s="532"/>
      <c r="B163" s="535"/>
      <c r="C163" s="260" t="s">
        <v>397</v>
      </c>
      <c r="D163" s="261">
        <v>758</v>
      </c>
      <c r="E163" s="170">
        <v>0</v>
      </c>
      <c r="F163" s="169">
        <v>0</v>
      </c>
    </row>
    <row r="164" spans="1:6" ht="30" customHeight="1" x14ac:dyDescent="0.25">
      <c r="A164" s="532"/>
      <c r="B164" s="535"/>
      <c r="C164" s="260" t="s">
        <v>398</v>
      </c>
      <c r="D164" s="261">
        <v>758</v>
      </c>
      <c r="E164" s="170">
        <v>0</v>
      </c>
      <c r="F164" s="169">
        <v>0</v>
      </c>
    </row>
    <row r="165" spans="1:6" ht="29.25" customHeight="1" x14ac:dyDescent="0.25">
      <c r="A165" s="532"/>
      <c r="B165" s="535"/>
      <c r="C165" s="260" t="s">
        <v>399</v>
      </c>
      <c r="D165" s="261">
        <v>758</v>
      </c>
      <c r="E165" s="170">
        <v>0</v>
      </c>
      <c r="F165" s="169">
        <v>0</v>
      </c>
    </row>
    <row r="166" spans="1:6" ht="15" customHeight="1" thickBot="1" x14ac:dyDescent="0.3">
      <c r="A166" s="533"/>
      <c r="B166" s="536"/>
      <c r="C166" s="265" t="s">
        <v>400</v>
      </c>
      <c r="D166" s="266">
        <v>758</v>
      </c>
      <c r="E166" s="193">
        <v>0</v>
      </c>
      <c r="F166" s="192">
        <v>0</v>
      </c>
    </row>
    <row r="167" spans="1:6" ht="15" customHeight="1" x14ac:dyDescent="0.25">
      <c r="A167" s="531" t="s">
        <v>230</v>
      </c>
      <c r="B167" s="534" t="s">
        <v>231</v>
      </c>
      <c r="C167" s="255" t="s">
        <v>394</v>
      </c>
      <c r="D167" s="256">
        <v>758</v>
      </c>
      <c r="E167" s="267">
        <f>SUM(E168:E173)</f>
        <v>0</v>
      </c>
      <c r="F167" s="258">
        <f>SUM(F168:F173)</f>
        <v>0</v>
      </c>
    </row>
    <row r="168" spans="1:6" ht="43.5" customHeight="1" x14ac:dyDescent="0.25">
      <c r="A168" s="532"/>
      <c r="B168" s="535"/>
      <c r="C168" s="260" t="s">
        <v>395</v>
      </c>
      <c r="D168" s="261">
        <v>758</v>
      </c>
      <c r="E168" s="170">
        <v>0</v>
      </c>
      <c r="F168" s="169">
        <v>0</v>
      </c>
    </row>
    <row r="169" spans="1:6" ht="15" customHeight="1" x14ac:dyDescent="0.25">
      <c r="A169" s="532"/>
      <c r="B169" s="535"/>
      <c r="C169" s="260" t="s">
        <v>396</v>
      </c>
      <c r="D169" s="261">
        <v>758</v>
      </c>
      <c r="E169" s="170">
        <v>0</v>
      </c>
      <c r="F169" s="169">
        <v>0</v>
      </c>
    </row>
    <row r="170" spans="1:6" ht="15" customHeight="1" x14ac:dyDescent="0.25">
      <c r="A170" s="532"/>
      <c r="B170" s="535"/>
      <c r="C170" s="260" t="s">
        <v>397</v>
      </c>
      <c r="D170" s="261">
        <v>758</v>
      </c>
      <c r="E170" s="170">
        <v>0</v>
      </c>
      <c r="F170" s="169">
        <v>0</v>
      </c>
    </row>
    <row r="171" spans="1:6" ht="27.75" customHeight="1" x14ac:dyDescent="0.25">
      <c r="A171" s="532"/>
      <c r="B171" s="535"/>
      <c r="C171" s="260" t="s">
        <v>398</v>
      </c>
      <c r="D171" s="261">
        <v>758</v>
      </c>
      <c r="E171" s="170">
        <v>0</v>
      </c>
      <c r="F171" s="169">
        <v>0</v>
      </c>
    </row>
    <row r="172" spans="1:6" ht="30" customHeight="1" x14ac:dyDescent="0.25">
      <c r="A172" s="532"/>
      <c r="B172" s="535"/>
      <c r="C172" s="260" t="s">
        <v>399</v>
      </c>
      <c r="D172" s="261">
        <v>758</v>
      </c>
      <c r="E172" s="170">
        <v>0</v>
      </c>
      <c r="F172" s="169">
        <v>0</v>
      </c>
    </row>
    <row r="173" spans="1:6" ht="15" customHeight="1" thickBot="1" x14ac:dyDescent="0.3">
      <c r="A173" s="533"/>
      <c r="B173" s="536"/>
      <c r="C173" s="265" t="s">
        <v>400</v>
      </c>
      <c r="D173" s="266">
        <v>758</v>
      </c>
      <c r="E173" s="268">
        <v>0</v>
      </c>
      <c r="F173" s="192">
        <v>0</v>
      </c>
    </row>
    <row r="174" spans="1:6" ht="15" customHeight="1" x14ac:dyDescent="0.25">
      <c r="A174" s="531" t="s">
        <v>232</v>
      </c>
      <c r="B174" s="534" t="s">
        <v>233</v>
      </c>
      <c r="C174" s="256" t="s">
        <v>394</v>
      </c>
      <c r="D174" s="256">
        <v>758</v>
      </c>
      <c r="E174" s="257">
        <f>SUM(E175:E180)</f>
        <v>17450</v>
      </c>
      <c r="F174" s="258">
        <f>SUM(F175:F180)</f>
        <v>16078</v>
      </c>
    </row>
    <row r="175" spans="1:6" ht="43.5" customHeight="1" x14ac:dyDescent="0.25">
      <c r="A175" s="532"/>
      <c r="B175" s="535"/>
      <c r="C175" s="271" t="s">
        <v>395</v>
      </c>
      <c r="D175" s="261">
        <v>758</v>
      </c>
      <c r="E175" s="170">
        <v>0</v>
      </c>
      <c r="F175" s="169">
        <v>0</v>
      </c>
    </row>
    <row r="176" spans="1:6" ht="15" customHeight="1" x14ac:dyDescent="0.25">
      <c r="A176" s="532"/>
      <c r="B176" s="535"/>
      <c r="C176" s="271" t="s">
        <v>396</v>
      </c>
      <c r="D176" s="261">
        <v>758</v>
      </c>
      <c r="E176" s="170">
        <v>13700</v>
      </c>
      <c r="F176" s="169">
        <v>13578</v>
      </c>
    </row>
    <row r="177" spans="1:7" ht="15" customHeight="1" x14ac:dyDescent="0.25">
      <c r="A177" s="532"/>
      <c r="B177" s="535"/>
      <c r="C177" s="271" t="s">
        <v>397</v>
      </c>
      <c r="D177" s="261">
        <v>758</v>
      </c>
      <c r="E177" s="170">
        <v>0</v>
      </c>
      <c r="F177" s="169">
        <v>0</v>
      </c>
    </row>
    <row r="178" spans="1:7" ht="28.5" customHeight="1" x14ac:dyDescent="0.25">
      <c r="A178" s="532"/>
      <c r="B178" s="535"/>
      <c r="C178" s="271" t="s">
        <v>398</v>
      </c>
      <c r="D178" s="261">
        <v>758</v>
      </c>
      <c r="E178" s="170">
        <v>0</v>
      </c>
      <c r="F178" s="169">
        <v>0</v>
      </c>
    </row>
    <row r="179" spans="1:7" ht="33.75" customHeight="1" x14ac:dyDescent="0.25">
      <c r="A179" s="532"/>
      <c r="B179" s="535"/>
      <c r="C179" s="271" t="s">
        <v>399</v>
      </c>
      <c r="D179" s="261">
        <v>758</v>
      </c>
      <c r="E179" s="170">
        <v>0</v>
      </c>
      <c r="F179" s="169">
        <v>0</v>
      </c>
    </row>
    <row r="180" spans="1:7" ht="15" customHeight="1" thickBot="1" x14ac:dyDescent="0.3">
      <c r="A180" s="533"/>
      <c r="B180" s="536"/>
      <c r="C180" s="272" t="s">
        <v>400</v>
      </c>
      <c r="D180" s="266">
        <v>758</v>
      </c>
      <c r="E180" s="193">
        <v>3750</v>
      </c>
      <c r="F180" s="192">
        <v>2500</v>
      </c>
    </row>
    <row r="181" spans="1:7" ht="15" customHeight="1" x14ac:dyDescent="0.25">
      <c r="A181" s="537" t="s">
        <v>234</v>
      </c>
      <c r="B181" s="538" t="s">
        <v>71</v>
      </c>
      <c r="C181" s="255" t="s">
        <v>394</v>
      </c>
      <c r="D181" s="256">
        <v>758</v>
      </c>
      <c r="E181" s="267">
        <f>SUM(E182:E187)</f>
        <v>328600</v>
      </c>
      <c r="F181" s="258">
        <f>SUM(F182:F187)</f>
        <v>0</v>
      </c>
    </row>
    <row r="182" spans="1:7" ht="42.75" customHeight="1" x14ac:dyDescent="0.25">
      <c r="A182" s="532"/>
      <c r="B182" s="539"/>
      <c r="C182" s="260" t="s">
        <v>395</v>
      </c>
      <c r="D182" s="261">
        <v>758</v>
      </c>
      <c r="E182" s="170">
        <f t="shared" ref="E182:F187" si="5">E189+E196+E203</f>
        <v>0</v>
      </c>
      <c r="F182" s="169">
        <f t="shared" si="5"/>
        <v>0</v>
      </c>
      <c r="G182" s="175"/>
    </row>
    <row r="183" spans="1:7" x14ac:dyDescent="0.25">
      <c r="A183" s="532"/>
      <c r="B183" s="539"/>
      <c r="C183" s="260" t="s">
        <v>396</v>
      </c>
      <c r="D183" s="261">
        <v>758</v>
      </c>
      <c r="E183" s="170">
        <f t="shared" si="5"/>
        <v>2100</v>
      </c>
      <c r="F183" s="169">
        <f t="shared" si="5"/>
        <v>0</v>
      </c>
    </row>
    <row r="184" spans="1:7" x14ac:dyDescent="0.25">
      <c r="A184" s="532"/>
      <c r="B184" s="539"/>
      <c r="C184" s="260" t="s">
        <v>397</v>
      </c>
      <c r="D184" s="261">
        <v>758</v>
      </c>
      <c r="E184" s="170">
        <f t="shared" si="5"/>
        <v>0</v>
      </c>
      <c r="F184" s="169">
        <f t="shared" si="5"/>
        <v>0</v>
      </c>
    </row>
    <row r="185" spans="1:7" ht="30" x14ac:dyDescent="0.25">
      <c r="A185" s="532"/>
      <c r="B185" s="539"/>
      <c r="C185" s="260" t="s">
        <v>398</v>
      </c>
      <c r="D185" s="261">
        <v>758</v>
      </c>
      <c r="E185" s="170">
        <f t="shared" si="5"/>
        <v>0</v>
      </c>
      <c r="F185" s="169">
        <f t="shared" si="5"/>
        <v>0</v>
      </c>
    </row>
    <row r="186" spans="1:7" ht="30" x14ac:dyDescent="0.25">
      <c r="A186" s="532"/>
      <c r="B186" s="539"/>
      <c r="C186" s="260" t="s">
        <v>399</v>
      </c>
      <c r="D186" s="261">
        <v>758</v>
      </c>
      <c r="E186" s="170">
        <f t="shared" si="5"/>
        <v>0</v>
      </c>
      <c r="F186" s="169">
        <f t="shared" si="5"/>
        <v>0</v>
      </c>
    </row>
    <row r="187" spans="1:7" ht="13.5" customHeight="1" thickBot="1" x14ac:dyDescent="0.3">
      <c r="A187" s="533"/>
      <c r="B187" s="540"/>
      <c r="C187" s="265" t="s">
        <v>400</v>
      </c>
      <c r="D187" s="266">
        <v>758</v>
      </c>
      <c r="E187" s="170">
        <f t="shared" si="5"/>
        <v>326500</v>
      </c>
      <c r="F187" s="192">
        <f t="shared" si="5"/>
        <v>0</v>
      </c>
    </row>
    <row r="188" spans="1:7" ht="13.5" customHeight="1" x14ac:dyDescent="0.25">
      <c r="A188" s="531" t="s">
        <v>235</v>
      </c>
      <c r="B188" s="534" t="s">
        <v>236</v>
      </c>
      <c r="C188" s="255" t="s">
        <v>394</v>
      </c>
      <c r="D188" s="256">
        <v>758</v>
      </c>
      <c r="E188" s="257">
        <f>SUM(E189:E194)</f>
        <v>328500</v>
      </c>
      <c r="F188" s="258">
        <f>SUM(F189:F194)</f>
        <v>0</v>
      </c>
    </row>
    <row r="189" spans="1:7" ht="42" customHeight="1" x14ac:dyDescent="0.25">
      <c r="A189" s="532"/>
      <c r="B189" s="535"/>
      <c r="C189" s="260" t="s">
        <v>395</v>
      </c>
      <c r="D189" s="261">
        <v>758</v>
      </c>
      <c r="E189" s="170">
        <v>0</v>
      </c>
      <c r="F189" s="169">
        <v>0</v>
      </c>
    </row>
    <row r="190" spans="1:7" ht="16.5" customHeight="1" x14ac:dyDescent="0.25">
      <c r="A190" s="532"/>
      <c r="B190" s="535"/>
      <c r="C190" s="260" t="s">
        <v>396</v>
      </c>
      <c r="D190" s="261">
        <v>758</v>
      </c>
      <c r="E190" s="170">
        <f>39000-37000</f>
        <v>2000</v>
      </c>
      <c r="F190" s="169">
        <v>0</v>
      </c>
    </row>
    <row r="191" spans="1:7" ht="16.5" customHeight="1" x14ac:dyDescent="0.25">
      <c r="A191" s="532"/>
      <c r="B191" s="535"/>
      <c r="C191" s="260" t="s">
        <v>397</v>
      </c>
      <c r="D191" s="261">
        <v>758</v>
      </c>
      <c r="E191" s="170">
        <v>0</v>
      </c>
      <c r="F191" s="169">
        <v>0</v>
      </c>
    </row>
    <row r="192" spans="1:7" ht="27" customHeight="1" x14ac:dyDescent="0.25">
      <c r="A192" s="532"/>
      <c r="B192" s="535"/>
      <c r="C192" s="260" t="s">
        <v>398</v>
      </c>
      <c r="D192" s="261">
        <v>758</v>
      </c>
      <c r="E192" s="170">
        <v>0</v>
      </c>
      <c r="F192" s="169">
        <v>0</v>
      </c>
    </row>
    <row r="193" spans="1:6" ht="29.25" customHeight="1" x14ac:dyDescent="0.25">
      <c r="A193" s="532"/>
      <c r="B193" s="535"/>
      <c r="C193" s="260" t="s">
        <v>399</v>
      </c>
      <c r="D193" s="261">
        <v>758</v>
      </c>
      <c r="E193" s="170">
        <v>0</v>
      </c>
      <c r="F193" s="169">
        <v>0</v>
      </c>
    </row>
    <row r="194" spans="1:6" ht="14.25" customHeight="1" thickBot="1" x14ac:dyDescent="0.3">
      <c r="A194" s="533"/>
      <c r="B194" s="536"/>
      <c r="C194" s="265" t="s">
        <v>400</v>
      </c>
      <c r="D194" s="266">
        <v>758</v>
      </c>
      <c r="E194" s="273">
        <v>326500</v>
      </c>
      <c r="F194" s="192">
        <v>0</v>
      </c>
    </row>
    <row r="195" spans="1:6" ht="14.25" customHeight="1" x14ac:dyDescent="0.25">
      <c r="A195" s="531" t="s">
        <v>239</v>
      </c>
      <c r="B195" s="534" t="s">
        <v>240</v>
      </c>
      <c r="C195" s="255" t="s">
        <v>394</v>
      </c>
      <c r="D195" s="256">
        <v>758</v>
      </c>
      <c r="E195" s="257">
        <f>SUM(E196:E201)</f>
        <v>100</v>
      </c>
      <c r="F195" s="258">
        <f>SUM(F196:F201)</f>
        <v>0</v>
      </c>
    </row>
    <row r="196" spans="1:6" ht="44.25" customHeight="1" x14ac:dyDescent="0.25">
      <c r="A196" s="532"/>
      <c r="B196" s="535"/>
      <c r="C196" s="260" t="s">
        <v>395</v>
      </c>
      <c r="D196" s="261">
        <v>758</v>
      </c>
      <c r="E196" s="170">
        <v>0</v>
      </c>
      <c r="F196" s="169">
        <v>0</v>
      </c>
    </row>
    <row r="197" spans="1:6" ht="12.75" customHeight="1" x14ac:dyDescent="0.25">
      <c r="A197" s="532"/>
      <c r="B197" s="535"/>
      <c r="C197" s="260" t="s">
        <v>396</v>
      </c>
      <c r="D197" s="261">
        <v>758</v>
      </c>
      <c r="E197" s="170">
        <f>1000-900</f>
        <v>100</v>
      </c>
      <c r="F197" s="169">
        <v>0</v>
      </c>
    </row>
    <row r="198" spans="1:6" ht="18" customHeight="1" x14ac:dyDescent="0.25">
      <c r="A198" s="532"/>
      <c r="B198" s="535"/>
      <c r="C198" s="260" t="s">
        <v>397</v>
      </c>
      <c r="D198" s="261">
        <v>758</v>
      </c>
      <c r="E198" s="170">
        <v>0</v>
      </c>
      <c r="F198" s="169">
        <v>0</v>
      </c>
    </row>
    <row r="199" spans="1:6" ht="31.5" customHeight="1" x14ac:dyDescent="0.25">
      <c r="A199" s="532"/>
      <c r="B199" s="535"/>
      <c r="C199" s="260" t="s">
        <v>398</v>
      </c>
      <c r="D199" s="261">
        <v>758</v>
      </c>
      <c r="E199" s="170">
        <v>0</v>
      </c>
      <c r="F199" s="169">
        <v>0</v>
      </c>
    </row>
    <row r="200" spans="1:6" ht="33" customHeight="1" x14ac:dyDescent="0.25">
      <c r="A200" s="532"/>
      <c r="B200" s="535"/>
      <c r="C200" s="260" t="s">
        <v>399</v>
      </c>
      <c r="D200" s="261">
        <v>758</v>
      </c>
      <c r="E200" s="170">
        <v>0</v>
      </c>
      <c r="F200" s="169">
        <v>0</v>
      </c>
    </row>
    <row r="201" spans="1:6" ht="21" customHeight="1" thickBot="1" x14ac:dyDescent="0.3">
      <c r="A201" s="533"/>
      <c r="B201" s="536"/>
      <c r="C201" s="265" t="s">
        <v>400</v>
      </c>
      <c r="D201" s="266">
        <v>758</v>
      </c>
      <c r="E201" s="193">
        <v>0</v>
      </c>
      <c r="F201" s="192">
        <v>0</v>
      </c>
    </row>
    <row r="202" spans="1:6" ht="15.75" customHeight="1" x14ac:dyDescent="0.25">
      <c r="A202" s="531" t="s">
        <v>242</v>
      </c>
      <c r="B202" s="534" t="s">
        <v>243</v>
      </c>
      <c r="C202" s="255" t="s">
        <v>394</v>
      </c>
      <c r="D202" s="256">
        <v>758</v>
      </c>
      <c r="E202" s="257">
        <f>SUM(E203:E208)</f>
        <v>0</v>
      </c>
      <c r="F202" s="258">
        <f>SUM(F203:F208)</f>
        <v>0</v>
      </c>
    </row>
    <row r="203" spans="1:6" ht="42.75" customHeight="1" x14ac:dyDescent="0.25">
      <c r="A203" s="532"/>
      <c r="B203" s="535"/>
      <c r="C203" s="260" t="s">
        <v>395</v>
      </c>
      <c r="D203" s="261">
        <v>758</v>
      </c>
      <c r="E203" s="170">
        <v>0</v>
      </c>
      <c r="F203" s="169">
        <v>0</v>
      </c>
    </row>
    <row r="204" spans="1:6" ht="15.75" customHeight="1" x14ac:dyDescent="0.25">
      <c r="A204" s="532"/>
      <c r="B204" s="535"/>
      <c r="C204" s="260" t="s">
        <v>396</v>
      </c>
      <c r="D204" s="261">
        <v>758</v>
      </c>
      <c r="E204" s="170">
        <v>0</v>
      </c>
      <c r="F204" s="169">
        <v>0</v>
      </c>
    </row>
    <row r="205" spans="1:6" ht="18" customHeight="1" x14ac:dyDescent="0.25">
      <c r="A205" s="532"/>
      <c r="B205" s="535"/>
      <c r="C205" s="260" t="s">
        <v>397</v>
      </c>
      <c r="D205" s="261">
        <v>758</v>
      </c>
      <c r="E205" s="170">
        <v>0</v>
      </c>
      <c r="F205" s="169">
        <v>0</v>
      </c>
    </row>
    <row r="206" spans="1:6" ht="29.25" customHeight="1" x14ac:dyDescent="0.25">
      <c r="A206" s="532"/>
      <c r="B206" s="535"/>
      <c r="C206" s="260" t="s">
        <v>398</v>
      </c>
      <c r="D206" s="261">
        <v>758</v>
      </c>
      <c r="E206" s="170">
        <v>0</v>
      </c>
      <c r="F206" s="169">
        <v>0</v>
      </c>
    </row>
    <row r="207" spans="1:6" ht="26.25" customHeight="1" x14ac:dyDescent="0.25">
      <c r="A207" s="532"/>
      <c r="B207" s="535"/>
      <c r="C207" s="260" t="s">
        <v>399</v>
      </c>
      <c r="D207" s="261">
        <v>758</v>
      </c>
      <c r="E207" s="170">
        <v>0</v>
      </c>
      <c r="F207" s="169">
        <v>0</v>
      </c>
    </row>
    <row r="208" spans="1:6" ht="13.5" customHeight="1" thickBot="1" x14ac:dyDescent="0.3">
      <c r="A208" s="533"/>
      <c r="B208" s="536"/>
      <c r="C208" s="265" t="s">
        <v>400</v>
      </c>
      <c r="D208" s="266">
        <v>758</v>
      </c>
      <c r="E208" s="193">
        <v>0</v>
      </c>
      <c r="F208" s="192">
        <v>0</v>
      </c>
    </row>
    <row r="209" spans="1:7" ht="22.5" customHeight="1" x14ac:dyDescent="0.25">
      <c r="A209" s="537" t="s">
        <v>244</v>
      </c>
      <c r="B209" s="538" t="s">
        <v>245</v>
      </c>
      <c r="C209" s="255" t="s">
        <v>394</v>
      </c>
      <c r="D209" s="256">
        <v>758</v>
      </c>
      <c r="E209" s="267">
        <f>SUM(E210:E215)</f>
        <v>695907.42999999993</v>
      </c>
      <c r="F209" s="258">
        <f>SUM(F210:F215)</f>
        <v>4081364.3200000003</v>
      </c>
    </row>
    <row r="210" spans="1:7" ht="41.25" customHeight="1" x14ac:dyDescent="0.25">
      <c r="A210" s="532"/>
      <c r="B210" s="539"/>
      <c r="C210" s="260" t="s">
        <v>395</v>
      </c>
      <c r="D210" s="261">
        <v>758</v>
      </c>
      <c r="E210" s="170">
        <f t="shared" ref="E210:F215" si="6">E217+E224+E231+E238+E245+E252+E259</f>
        <v>160668.72999999998</v>
      </c>
      <c r="F210" s="169">
        <f t="shared" si="6"/>
        <v>152668.49</v>
      </c>
      <c r="G210" s="175"/>
    </row>
    <row r="211" spans="1:7" x14ac:dyDescent="0.25">
      <c r="A211" s="532"/>
      <c r="B211" s="539"/>
      <c r="C211" s="260" t="s">
        <v>396</v>
      </c>
      <c r="D211" s="261">
        <v>758</v>
      </c>
      <c r="E211" s="170">
        <f t="shared" si="6"/>
        <v>408238.7</v>
      </c>
      <c r="F211" s="169">
        <f t="shared" si="6"/>
        <v>397436.83</v>
      </c>
    </row>
    <row r="212" spans="1:7" x14ac:dyDescent="0.25">
      <c r="A212" s="532"/>
      <c r="B212" s="539"/>
      <c r="C212" s="260" t="s">
        <v>397</v>
      </c>
      <c r="D212" s="261">
        <v>758</v>
      </c>
      <c r="E212" s="170">
        <f t="shared" si="6"/>
        <v>0</v>
      </c>
      <c r="F212" s="169">
        <f t="shared" si="6"/>
        <v>0</v>
      </c>
    </row>
    <row r="213" spans="1:7" ht="30" x14ac:dyDescent="0.25">
      <c r="A213" s="532"/>
      <c r="B213" s="539"/>
      <c r="C213" s="260" t="s">
        <v>398</v>
      </c>
      <c r="D213" s="261">
        <v>758</v>
      </c>
      <c r="E213" s="170">
        <f t="shared" si="6"/>
        <v>0</v>
      </c>
      <c r="F213" s="169">
        <f t="shared" si="6"/>
        <v>0</v>
      </c>
    </row>
    <row r="214" spans="1:7" ht="25.5" customHeight="1" x14ac:dyDescent="0.25">
      <c r="A214" s="532"/>
      <c r="B214" s="539"/>
      <c r="C214" s="260" t="s">
        <v>399</v>
      </c>
      <c r="D214" s="261">
        <v>758</v>
      </c>
      <c r="E214" s="170">
        <f t="shared" si="6"/>
        <v>0</v>
      </c>
      <c r="F214" s="169">
        <f t="shared" si="6"/>
        <v>0</v>
      </c>
    </row>
    <row r="215" spans="1:7" ht="15.75" customHeight="1" thickBot="1" x14ac:dyDescent="0.3">
      <c r="A215" s="533"/>
      <c r="B215" s="540"/>
      <c r="C215" s="265" t="s">
        <v>400</v>
      </c>
      <c r="D215" s="266">
        <v>758</v>
      </c>
      <c r="E215" s="170">
        <f t="shared" si="6"/>
        <v>127000</v>
      </c>
      <c r="F215" s="192">
        <f t="shared" si="6"/>
        <v>3531259</v>
      </c>
      <c r="G215" s="175"/>
    </row>
    <row r="216" spans="1:7" ht="13.5" customHeight="1" x14ac:dyDescent="0.25">
      <c r="A216" s="531" t="s">
        <v>246</v>
      </c>
      <c r="B216" s="534" t="s">
        <v>247</v>
      </c>
      <c r="C216" s="255" t="s">
        <v>394</v>
      </c>
      <c r="D216" s="256">
        <v>758</v>
      </c>
      <c r="E216" s="257">
        <f>SUM(E217:E222)</f>
        <v>3000</v>
      </c>
      <c r="F216" s="258">
        <f>SUM(F217:F222)</f>
        <v>5800</v>
      </c>
    </row>
    <row r="217" spans="1:7" ht="28.5" customHeight="1" x14ac:dyDescent="0.25">
      <c r="A217" s="532"/>
      <c r="B217" s="535"/>
      <c r="C217" s="260" t="s">
        <v>395</v>
      </c>
      <c r="D217" s="261">
        <v>758</v>
      </c>
      <c r="E217" s="170">
        <v>0</v>
      </c>
      <c r="F217" s="169">
        <v>0</v>
      </c>
    </row>
    <row r="218" spans="1:7" ht="19.5" customHeight="1" x14ac:dyDescent="0.25">
      <c r="A218" s="532"/>
      <c r="B218" s="535"/>
      <c r="C218" s="260" t="s">
        <v>396</v>
      </c>
      <c r="D218" s="261">
        <v>758</v>
      </c>
      <c r="E218" s="170">
        <v>1000</v>
      </c>
      <c r="F218" s="169">
        <v>1000</v>
      </c>
    </row>
    <row r="219" spans="1:7" ht="21.75" customHeight="1" x14ac:dyDescent="0.25">
      <c r="A219" s="532"/>
      <c r="B219" s="535"/>
      <c r="C219" s="260" t="s">
        <v>397</v>
      </c>
      <c r="D219" s="261">
        <v>758</v>
      </c>
      <c r="E219" s="170">
        <v>0</v>
      </c>
      <c r="F219" s="169">
        <v>0</v>
      </c>
    </row>
    <row r="220" spans="1:7" ht="27.75" customHeight="1" x14ac:dyDescent="0.25">
      <c r="A220" s="532"/>
      <c r="B220" s="535"/>
      <c r="C220" s="260" t="s">
        <v>398</v>
      </c>
      <c r="D220" s="261">
        <v>758</v>
      </c>
      <c r="E220" s="170">
        <v>0</v>
      </c>
      <c r="F220" s="169">
        <v>0</v>
      </c>
    </row>
    <row r="221" spans="1:7" ht="27.75" customHeight="1" x14ac:dyDescent="0.25">
      <c r="A221" s="532"/>
      <c r="B221" s="535"/>
      <c r="C221" s="260" t="s">
        <v>399</v>
      </c>
      <c r="D221" s="261">
        <v>758</v>
      </c>
      <c r="E221" s="170">
        <v>0</v>
      </c>
      <c r="F221" s="169">
        <v>0</v>
      </c>
    </row>
    <row r="222" spans="1:7" ht="27.75" customHeight="1" thickBot="1" x14ac:dyDescent="0.3">
      <c r="A222" s="533"/>
      <c r="B222" s="536"/>
      <c r="C222" s="265" t="s">
        <v>400</v>
      </c>
      <c r="D222" s="266">
        <v>758</v>
      </c>
      <c r="E222" s="193">
        <v>2000</v>
      </c>
      <c r="F222" s="192">
        <v>4800</v>
      </c>
    </row>
    <row r="223" spans="1:7" ht="13.5" customHeight="1" x14ac:dyDescent="0.25">
      <c r="A223" s="531" t="s">
        <v>250</v>
      </c>
      <c r="B223" s="534" t="s">
        <v>251</v>
      </c>
      <c r="C223" s="255" t="s">
        <v>394</v>
      </c>
      <c r="D223" s="256">
        <v>758</v>
      </c>
      <c r="E223" s="257">
        <f>SUM(E224:E229)</f>
        <v>20000</v>
      </c>
      <c r="F223" s="258">
        <f>SUM(F224:F229)</f>
        <v>190000</v>
      </c>
    </row>
    <row r="224" spans="1:7" ht="27.75" customHeight="1" x14ac:dyDescent="0.25">
      <c r="A224" s="532"/>
      <c r="B224" s="535"/>
      <c r="C224" s="260" t="s">
        <v>395</v>
      </c>
      <c r="D224" s="261">
        <v>758</v>
      </c>
      <c r="E224" s="170">
        <v>0</v>
      </c>
      <c r="F224" s="169">
        <v>0</v>
      </c>
    </row>
    <row r="225" spans="1:6" ht="17.25" customHeight="1" x14ac:dyDescent="0.25">
      <c r="A225" s="532"/>
      <c r="B225" s="535"/>
      <c r="C225" s="260" t="s">
        <v>396</v>
      </c>
      <c r="D225" s="261">
        <v>758</v>
      </c>
      <c r="E225" s="170">
        <v>20000</v>
      </c>
      <c r="F225" s="169">
        <v>20000</v>
      </c>
    </row>
    <row r="226" spans="1:6" ht="20.25" customHeight="1" x14ac:dyDescent="0.25">
      <c r="A226" s="532"/>
      <c r="B226" s="535"/>
      <c r="C226" s="260" t="s">
        <v>397</v>
      </c>
      <c r="D226" s="261">
        <v>758</v>
      </c>
      <c r="E226" s="170">
        <v>0</v>
      </c>
      <c r="F226" s="169">
        <v>0</v>
      </c>
    </row>
    <row r="227" spans="1:6" ht="27.75" customHeight="1" x14ac:dyDescent="0.25">
      <c r="A227" s="532"/>
      <c r="B227" s="535"/>
      <c r="C227" s="260" t="s">
        <v>398</v>
      </c>
      <c r="D227" s="261">
        <v>758</v>
      </c>
      <c r="E227" s="170">
        <v>0</v>
      </c>
      <c r="F227" s="169">
        <v>0</v>
      </c>
    </row>
    <row r="228" spans="1:6" ht="34.5" customHeight="1" x14ac:dyDescent="0.25">
      <c r="A228" s="532"/>
      <c r="B228" s="535"/>
      <c r="C228" s="260" t="s">
        <v>399</v>
      </c>
      <c r="D228" s="261">
        <v>758</v>
      </c>
      <c r="E228" s="170">
        <v>0</v>
      </c>
      <c r="F228" s="169">
        <v>0</v>
      </c>
    </row>
    <row r="229" spans="1:6" ht="19.5" customHeight="1" thickBot="1" x14ac:dyDescent="0.3">
      <c r="A229" s="533"/>
      <c r="B229" s="536"/>
      <c r="C229" s="265" t="s">
        <v>400</v>
      </c>
      <c r="D229" s="266">
        <v>758</v>
      </c>
      <c r="E229" s="193">
        <v>0</v>
      </c>
      <c r="F229" s="169">
        <v>170000</v>
      </c>
    </row>
    <row r="230" spans="1:6" ht="15" customHeight="1" x14ac:dyDescent="0.25">
      <c r="A230" s="531" t="s">
        <v>252</v>
      </c>
      <c r="B230" s="534" t="s">
        <v>253</v>
      </c>
      <c r="C230" s="255" t="s">
        <v>394</v>
      </c>
      <c r="D230" s="256">
        <v>758</v>
      </c>
      <c r="E230" s="257">
        <f>SUM(E231:E236)</f>
        <v>123439.98999999999</v>
      </c>
      <c r="F230" s="258">
        <f>SUM(F231:F236)</f>
        <v>87946.239999999991</v>
      </c>
    </row>
    <row r="231" spans="1:6" ht="27.75" customHeight="1" x14ac:dyDescent="0.25">
      <c r="A231" s="532"/>
      <c r="B231" s="535"/>
      <c r="C231" s="260" t="s">
        <v>395</v>
      </c>
      <c r="D231" s="261">
        <v>758</v>
      </c>
      <c r="E231" s="170">
        <f>7410.9+10892.74+136.35</f>
        <v>18439.989999999998</v>
      </c>
      <c r="F231" s="169">
        <f>10439.75</f>
        <v>10439.75</v>
      </c>
    </row>
    <row r="232" spans="1:6" ht="18" customHeight="1" x14ac:dyDescent="0.25">
      <c r="A232" s="532"/>
      <c r="B232" s="535"/>
      <c r="C232" s="260" t="s">
        <v>396</v>
      </c>
      <c r="D232" s="261">
        <v>758</v>
      </c>
      <c r="E232" s="170">
        <v>20000</v>
      </c>
      <c r="F232" s="169">
        <v>11047.49</v>
      </c>
    </row>
    <row r="233" spans="1:6" ht="19.5" customHeight="1" x14ac:dyDescent="0.25">
      <c r="A233" s="532"/>
      <c r="B233" s="535"/>
      <c r="C233" s="260" t="s">
        <v>397</v>
      </c>
      <c r="D233" s="261">
        <v>758</v>
      </c>
      <c r="E233" s="170">
        <v>0</v>
      </c>
      <c r="F233" s="169">
        <v>0</v>
      </c>
    </row>
    <row r="234" spans="1:6" ht="27.75" customHeight="1" x14ac:dyDescent="0.25">
      <c r="A234" s="532"/>
      <c r="B234" s="535"/>
      <c r="C234" s="260" t="s">
        <v>398</v>
      </c>
      <c r="D234" s="261">
        <v>758</v>
      </c>
      <c r="E234" s="170">
        <v>0</v>
      </c>
      <c r="F234" s="169">
        <v>0</v>
      </c>
    </row>
    <row r="235" spans="1:6" ht="36" customHeight="1" x14ac:dyDescent="0.25">
      <c r="A235" s="532"/>
      <c r="B235" s="535"/>
      <c r="C235" s="260" t="s">
        <v>399</v>
      </c>
      <c r="D235" s="261">
        <v>758</v>
      </c>
      <c r="E235" s="170">
        <v>0</v>
      </c>
      <c r="F235" s="169">
        <v>0</v>
      </c>
    </row>
    <row r="236" spans="1:6" ht="21" customHeight="1" thickBot="1" x14ac:dyDescent="0.3">
      <c r="A236" s="533"/>
      <c r="B236" s="536"/>
      <c r="C236" s="265" t="s">
        <v>400</v>
      </c>
      <c r="D236" s="266">
        <v>758</v>
      </c>
      <c r="E236" s="193">
        <v>85000</v>
      </c>
      <c r="F236" s="169">
        <f>64049+1200+1210</f>
        <v>66459</v>
      </c>
    </row>
    <row r="237" spans="1:6" ht="27.75" customHeight="1" x14ac:dyDescent="0.25">
      <c r="A237" s="531" t="s">
        <v>254</v>
      </c>
      <c r="B237" s="534" t="s">
        <v>255</v>
      </c>
      <c r="C237" s="255" t="s">
        <v>394</v>
      </c>
      <c r="D237" s="256">
        <v>758</v>
      </c>
      <c r="E237" s="257">
        <f>SUM(E238:E243)</f>
        <v>40000</v>
      </c>
      <c r="F237" s="258">
        <f>SUM(F238:F243)</f>
        <v>10000</v>
      </c>
    </row>
    <row r="238" spans="1:6" ht="27.75" customHeight="1" x14ac:dyDescent="0.25">
      <c r="A238" s="532"/>
      <c r="B238" s="535"/>
      <c r="C238" s="260" t="s">
        <v>395</v>
      </c>
      <c r="D238" s="261">
        <v>758</v>
      </c>
      <c r="E238" s="170">
        <v>0</v>
      </c>
      <c r="F238" s="169">
        <v>0</v>
      </c>
    </row>
    <row r="239" spans="1:6" ht="17.25" customHeight="1" x14ac:dyDescent="0.25">
      <c r="A239" s="532"/>
      <c r="B239" s="535"/>
      <c r="C239" s="260" t="s">
        <v>396</v>
      </c>
      <c r="D239" s="261">
        <v>758</v>
      </c>
      <c r="E239" s="170">
        <v>0</v>
      </c>
      <c r="F239" s="169">
        <v>0</v>
      </c>
    </row>
    <row r="240" spans="1:6" ht="19.5" customHeight="1" x14ac:dyDescent="0.25">
      <c r="A240" s="532"/>
      <c r="B240" s="535"/>
      <c r="C240" s="260" t="s">
        <v>397</v>
      </c>
      <c r="D240" s="261">
        <v>758</v>
      </c>
      <c r="E240" s="170">
        <v>0</v>
      </c>
      <c r="F240" s="169">
        <v>0</v>
      </c>
    </row>
    <row r="241" spans="1:6" ht="27.75" customHeight="1" x14ac:dyDescent="0.25">
      <c r="A241" s="532"/>
      <c r="B241" s="535"/>
      <c r="C241" s="260" t="s">
        <v>398</v>
      </c>
      <c r="D241" s="261">
        <v>758</v>
      </c>
      <c r="E241" s="170">
        <v>0</v>
      </c>
      <c r="F241" s="169">
        <v>0</v>
      </c>
    </row>
    <row r="242" spans="1:6" ht="30.75" customHeight="1" x14ac:dyDescent="0.25">
      <c r="A242" s="532"/>
      <c r="B242" s="535"/>
      <c r="C242" s="260" t="s">
        <v>399</v>
      </c>
      <c r="D242" s="261">
        <v>758</v>
      </c>
      <c r="E242" s="170">
        <v>0</v>
      </c>
      <c r="F242" s="169">
        <v>0</v>
      </c>
    </row>
    <row r="243" spans="1:6" ht="27.75" customHeight="1" thickBot="1" x14ac:dyDescent="0.3">
      <c r="A243" s="533"/>
      <c r="B243" s="536"/>
      <c r="C243" s="265" t="s">
        <v>400</v>
      </c>
      <c r="D243" s="266">
        <v>758</v>
      </c>
      <c r="E243" s="193">
        <v>40000</v>
      </c>
      <c r="F243" s="192">
        <v>10000</v>
      </c>
    </row>
    <row r="244" spans="1:6" ht="17.25" customHeight="1" x14ac:dyDescent="0.25">
      <c r="A244" s="531" t="s">
        <v>256</v>
      </c>
      <c r="B244" s="534" t="s">
        <v>257</v>
      </c>
      <c r="C244" s="255" t="s">
        <v>394</v>
      </c>
      <c r="D244" s="256">
        <v>758</v>
      </c>
      <c r="E244" s="257">
        <f>SUM(E245:E250)</f>
        <v>508867.44</v>
      </c>
      <c r="F244" s="258">
        <f>SUM(F245:F250)</f>
        <v>3787018.43</v>
      </c>
    </row>
    <row r="245" spans="1:6" ht="27.75" customHeight="1" x14ac:dyDescent="0.25">
      <c r="A245" s="532"/>
      <c r="B245" s="535"/>
      <c r="C245" s="260" t="s">
        <v>395</v>
      </c>
      <c r="D245" s="261">
        <v>758</v>
      </c>
      <c r="E245" s="170">
        <f>129577.5+12651.24</f>
        <v>142228.74</v>
      </c>
      <c r="F245" s="169">
        <f>142228.74</f>
        <v>142228.74</v>
      </c>
    </row>
    <row r="246" spans="1:6" ht="18" customHeight="1" x14ac:dyDescent="0.25">
      <c r="A246" s="532"/>
      <c r="B246" s="535"/>
      <c r="C246" s="260" t="s">
        <v>396</v>
      </c>
      <c r="D246" s="261">
        <v>758</v>
      </c>
      <c r="E246" s="170">
        <f>249227+118011.7-600</f>
        <v>366638.7</v>
      </c>
      <c r="F246" s="169">
        <f>246777.99+118011.7</f>
        <v>364789.69</v>
      </c>
    </row>
    <row r="247" spans="1:6" ht="17.25" customHeight="1" x14ac:dyDescent="0.25">
      <c r="A247" s="532"/>
      <c r="B247" s="535"/>
      <c r="C247" s="260" t="s">
        <v>397</v>
      </c>
      <c r="D247" s="261">
        <v>758</v>
      </c>
      <c r="E247" s="170">
        <v>0</v>
      </c>
      <c r="F247" s="169">
        <v>0</v>
      </c>
    </row>
    <row r="248" spans="1:6" ht="27.75" customHeight="1" x14ac:dyDescent="0.25">
      <c r="A248" s="532"/>
      <c r="B248" s="535"/>
      <c r="C248" s="260" t="s">
        <v>398</v>
      </c>
      <c r="D248" s="261">
        <v>758</v>
      </c>
      <c r="E248" s="170">
        <v>0</v>
      </c>
      <c r="F248" s="169">
        <v>0</v>
      </c>
    </row>
    <row r="249" spans="1:6" ht="27.75" customHeight="1" x14ac:dyDescent="0.25">
      <c r="A249" s="532"/>
      <c r="B249" s="535"/>
      <c r="C249" s="260" t="s">
        <v>399</v>
      </c>
      <c r="D249" s="261">
        <v>758</v>
      </c>
      <c r="E249" s="170">
        <v>0</v>
      </c>
      <c r="F249" s="169">
        <v>0</v>
      </c>
    </row>
    <row r="250" spans="1:6" ht="18" customHeight="1" thickBot="1" x14ac:dyDescent="0.3">
      <c r="A250" s="533"/>
      <c r="B250" s="536"/>
      <c r="C250" s="265" t="s">
        <v>400</v>
      </c>
      <c r="D250" s="266">
        <v>758</v>
      </c>
      <c r="E250" s="193">
        <v>0</v>
      </c>
      <c r="F250" s="192">
        <v>3280000</v>
      </c>
    </row>
    <row r="251" spans="1:6" ht="18.75" customHeight="1" x14ac:dyDescent="0.25">
      <c r="A251" s="531" t="s">
        <v>258</v>
      </c>
      <c r="B251" s="534" t="s">
        <v>259</v>
      </c>
      <c r="C251" s="255" t="s">
        <v>394</v>
      </c>
      <c r="D251" s="256">
        <v>758</v>
      </c>
      <c r="E251" s="267">
        <f>SUM(E252:E257)</f>
        <v>0</v>
      </c>
      <c r="F251" s="258">
        <f>SUM(F252:F257)</f>
        <v>0</v>
      </c>
    </row>
    <row r="252" spans="1:6" ht="27.75" customHeight="1" x14ac:dyDescent="0.25">
      <c r="A252" s="532"/>
      <c r="B252" s="535"/>
      <c r="C252" s="260" t="s">
        <v>395</v>
      </c>
      <c r="D252" s="261">
        <v>758</v>
      </c>
      <c r="E252" s="170">
        <v>0</v>
      </c>
      <c r="F252" s="169">
        <v>0</v>
      </c>
    </row>
    <row r="253" spans="1:6" ht="18" customHeight="1" x14ac:dyDescent="0.25">
      <c r="A253" s="532"/>
      <c r="B253" s="535"/>
      <c r="C253" s="260" t="s">
        <v>396</v>
      </c>
      <c r="D253" s="261">
        <v>758</v>
      </c>
      <c r="E253" s="170">
        <v>0</v>
      </c>
      <c r="F253" s="169">
        <v>0</v>
      </c>
    </row>
    <row r="254" spans="1:6" ht="18.75" customHeight="1" x14ac:dyDescent="0.25">
      <c r="A254" s="532"/>
      <c r="B254" s="535"/>
      <c r="C254" s="260" t="s">
        <v>397</v>
      </c>
      <c r="D254" s="261">
        <v>758</v>
      </c>
      <c r="E254" s="170">
        <v>0</v>
      </c>
      <c r="F254" s="169">
        <v>0</v>
      </c>
    </row>
    <row r="255" spans="1:6" ht="27.75" customHeight="1" x14ac:dyDescent="0.25">
      <c r="A255" s="532"/>
      <c r="B255" s="535"/>
      <c r="C255" s="260" t="s">
        <v>398</v>
      </c>
      <c r="D255" s="261">
        <v>758</v>
      </c>
      <c r="E255" s="170">
        <v>0</v>
      </c>
      <c r="F255" s="169">
        <v>0</v>
      </c>
    </row>
    <row r="256" spans="1:6" ht="27.75" customHeight="1" x14ac:dyDescent="0.25">
      <c r="A256" s="532"/>
      <c r="B256" s="535"/>
      <c r="C256" s="260" t="s">
        <v>399</v>
      </c>
      <c r="D256" s="261">
        <v>758</v>
      </c>
      <c r="E256" s="170">
        <v>0</v>
      </c>
      <c r="F256" s="169">
        <v>0</v>
      </c>
    </row>
    <row r="257" spans="1:7" ht="16.5" customHeight="1" thickBot="1" x14ac:dyDescent="0.3">
      <c r="A257" s="533"/>
      <c r="B257" s="536"/>
      <c r="C257" s="265" t="s">
        <v>400</v>
      </c>
      <c r="D257" s="266">
        <v>758</v>
      </c>
      <c r="E257" s="268">
        <v>0</v>
      </c>
      <c r="F257" s="169">
        <v>0</v>
      </c>
    </row>
    <row r="258" spans="1:7" ht="17.25" customHeight="1" x14ac:dyDescent="0.25">
      <c r="A258" s="531" t="s">
        <v>260</v>
      </c>
      <c r="B258" s="534" t="s">
        <v>261</v>
      </c>
      <c r="C258" s="255" t="s">
        <v>394</v>
      </c>
      <c r="D258" s="256">
        <v>758</v>
      </c>
      <c r="E258" s="257">
        <f>SUM(E259:E264)</f>
        <v>600</v>
      </c>
      <c r="F258" s="258">
        <f>SUM(F259:F264)</f>
        <v>599.65</v>
      </c>
    </row>
    <row r="259" spans="1:7" ht="27.75" customHeight="1" x14ac:dyDescent="0.25">
      <c r="A259" s="532"/>
      <c r="B259" s="535"/>
      <c r="C259" s="260" t="s">
        <v>395</v>
      </c>
      <c r="D259" s="261">
        <v>758</v>
      </c>
      <c r="E259" s="170">
        <v>0</v>
      </c>
      <c r="F259" s="169">
        <v>0</v>
      </c>
    </row>
    <row r="260" spans="1:7" ht="27.75" customHeight="1" x14ac:dyDescent="0.25">
      <c r="A260" s="532"/>
      <c r="B260" s="535"/>
      <c r="C260" s="260" t="s">
        <v>396</v>
      </c>
      <c r="D260" s="261">
        <v>758</v>
      </c>
      <c r="E260" s="170">
        <v>600</v>
      </c>
      <c r="F260" s="169">
        <v>599.65</v>
      </c>
    </row>
    <row r="261" spans="1:7" ht="27.75" customHeight="1" x14ac:dyDescent="0.25">
      <c r="A261" s="532"/>
      <c r="B261" s="535"/>
      <c r="C261" s="260" t="s">
        <v>397</v>
      </c>
      <c r="D261" s="261">
        <v>758</v>
      </c>
      <c r="E261" s="170">
        <v>0</v>
      </c>
      <c r="F261" s="169">
        <v>0</v>
      </c>
    </row>
    <row r="262" spans="1:7" ht="27.75" customHeight="1" x14ac:dyDescent="0.25">
      <c r="A262" s="532"/>
      <c r="B262" s="535"/>
      <c r="C262" s="260" t="s">
        <v>398</v>
      </c>
      <c r="D262" s="261">
        <v>758</v>
      </c>
      <c r="E262" s="170">
        <v>0</v>
      </c>
      <c r="F262" s="169">
        <v>0</v>
      </c>
    </row>
    <row r="263" spans="1:7" ht="27.75" customHeight="1" x14ac:dyDescent="0.25">
      <c r="A263" s="532"/>
      <c r="B263" s="535"/>
      <c r="C263" s="260" t="s">
        <v>399</v>
      </c>
      <c r="D263" s="261">
        <v>758</v>
      </c>
      <c r="E263" s="170">
        <v>0</v>
      </c>
      <c r="F263" s="169">
        <v>0</v>
      </c>
    </row>
    <row r="264" spans="1:7" ht="27.75" customHeight="1" thickBot="1" x14ac:dyDescent="0.3">
      <c r="A264" s="533"/>
      <c r="B264" s="536"/>
      <c r="C264" s="265" t="s">
        <v>400</v>
      </c>
      <c r="D264" s="266">
        <v>758</v>
      </c>
      <c r="E264" s="193">
        <v>0</v>
      </c>
      <c r="F264" s="192">
        <v>0</v>
      </c>
    </row>
    <row r="265" spans="1:7" ht="17.25" customHeight="1" x14ac:dyDescent="0.25">
      <c r="A265" s="537" t="s">
        <v>262</v>
      </c>
      <c r="B265" s="538" t="s">
        <v>104</v>
      </c>
      <c r="C265" s="255" t="s">
        <v>394</v>
      </c>
      <c r="D265" s="256">
        <v>758</v>
      </c>
      <c r="E265" s="267">
        <f>SUM(E266:E271)</f>
        <v>4737907.3099999996</v>
      </c>
      <c r="F265" s="258">
        <f>SUM(F266:F271)</f>
        <v>4932905.6399999997</v>
      </c>
    </row>
    <row r="266" spans="1:7" ht="45" x14ac:dyDescent="0.25">
      <c r="A266" s="532"/>
      <c r="B266" s="539"/>
      <c r="C266" s="260" t="s">
        <v>395</v>
      </c>
      <c r="D266" s="261">
        <v>758</v>
      </c>
      <c r="E266" s="170">
        <f t="shared" ref="E266:F271" si="7">E273+E280+E287</f>
        <v>26155.9</v>
      </c>
      <c r="F266" s="169">
        <f t="shared" si="7"/>
        <v>26040.48</v>
      </c>
      <c r="G266" s="175"/>
    </row>
    <row r="267" spans="1:7" x14ac:dyDescent="0.25">
      <c r="A267" s="532"/>
      <c r="B267" s="539"/>
      <c r="C267" s="260" t="s">
        <v>396</v>
      </c>
      <c r="D267" s="261">
        <v>758</v>
      </c>
      <c r="E267" s="170">
        <f t="shared" si="7"/>
        <v>281751.40999999997</v>
      </c>
      <c r="F267" s="169">
        <f t="shared" si="7"/>
        <v>246365.16</v>
      </c>
    </row>
    <row r="268" spans="1:7" x14ac:dyDescent="0.25">
      <c r="A268" s="532"/>
      <c r="B268" s="539"/>
      <c r="C268" s="260" t="s">
        <v>397</v>
      </c>
      <c r="D268" s="261">
        <v>758</v>
      </c>
      <c r="E268" s="170">
        <f t="shared" si="7"/>
        <v>0</v>
      </c>
      <c r="F268" s="169">
        <f t="shared" si="7"/>
        <v>0</v>
      </c>
    </row>
    <row r="269" spans="1:7" ht="30" x14ac:dyDescent="0.25">
      <c r="A269" s="532"/>
      <c r="B269" s="539"/>
      <c r="C269" s="260" t="s">
        <v>398</v>
      </c>
      <c r="D269" s="261">
        <v>758</v>
      </c>
      <c r="E269" s="170">
        <f t="shared" si="7"/>
        <v>0</v>
      </c>
      <c r="F269" s="169">
        <f t="shared" si="7"/>
        <v>0</v>
      </c>
    </row>
    <row r="270" spans="1:7" ht="30" x14ac:dyDescent="0.25">
      <c r="A270" s="532"/>
      <c r="B270" s="539"/>
      <c r="C270" s="260" t="s">
        <v>399</v>
      </c>
      <c r="D270" s="261">
        <v>758</v>
      </c>
      <c r="E270" s="170">
        <f t="shared" si="7"/>
        <v>0</v>
      </c>
      <c r="F270" s="169">
        <f t="shared" si="7"/>
        <v>0</v>
      </c>
    </row>
    <row r="271" spans="1:7" ht="13.5" customHeight="1" thickBot="1" x14ac:dyDescent="0.3">
      <c r="A271" s="533"/>
      <c r="B271" s="540"/>
      <c r="C271" s="265" t="s">
        <v>400</v>
      </c>
      <c r="D271" s="266">
        <v>758</v>
      </c>
      <c r="E271" s="170">
        <f t="shared" si="7"/>
        <v>4430000</v>
      </c>
      <c r="F271" s="192">
        <f t="shared" si="7"/>
        <v>4660500</v>
      </c>
    </row>
    <row r="272" spans="1:7" ht="16.5" customHeight="1" x14ac:dyDescent="0.25">
      <c r="A272" s="531" t="s">
        <v>263</v>
      </c>
      <c r="B272" s="534" t="s">
        <v>264</v>
      </c>
      <c r="C272" s="255" t="s">
        <v>394</v>
      </c>
      <c r="D272" s="256">
        <v>758</v>
      </c>
      <c r="E272" s="257">
        <f>SUM(E273:E278)</f>
        <v>4609637.5</v>
      </c>
      <c r="F272" s="258">
        <f>SUM(F273:F278)</f>
        <v>4815789.96</v>
      </c>
    </row>
    <row r="273" spans="1:6" ht="40.5" customHeight="1" x14ac:dyDescent="0.25">
      <c r="A273" s="532"/>
      <c r="B273" s="535"/>
      <c r="C273" s="260" t="s">
        <v>395</v>
      </c>
      <c r="D273" s="261">
        <v>758</v>
      </c>
      <c r="E273" s="170">
        <f>17637.5</f>
        <v>17637.5</v>
      </c>
      <c r="F273" s="169">
        <f>17637.48</f>
        <v>17637.48</v>
      </c>
    </row>
    <row r="274" spans="1:6" ht="15" customHeight="1" x14ac:dyDescent="0.25">
      <c r="A274" s="532"/>
      <c r="B274" s="535"/>
      <c r="C274" s="260" t="s">
        <v>396</v>
      </c>
      <c r="D274" s="261">
        <v>758</v>
      </c>
      <c r="E274" s="170">
        <f>230000-20000+40000+12000</f>
        <v>262000</v>
      </c>
      <c r="F274" s="169">
        <v>227652.48000000001</v>
      </c>
    </row>
    <row r="275" spans="1:6" ht="15" customHeight="1" x14ac:dyDescent="0.25">
      <c r="A275" s="532"/>
      <c r="B275" s="535"/>
      <c r="C275" s="260" t="s">
        <v>397</v>
      </c>
      <c r="D275" s="261">
        <v>758</v>
      </c>
      <c r="E275" s="170">
        <v>0</v>
      </c>
      <c r="F275" s="169">
        <v>0</v>
      </c>
    </row>
    <row r="276" spans="1:6" ht="30" customHeight="1" x14ac:dyDescent="0.25">
      <c r="A276" s="532"/>
      <c r="B276" s="535"/>
      <c r="C276" s="260" t="s">
        <v>398</v>
      </c>
      <c r="D276" s="261">
        <v>758</v>
      </c>
      <c r="E276" s="170">
        <v>0</v>
      </c>
      <c r="F276" s="169">
        <v>0</v>
      </c>
    </row>
    <row r="277" spans="1:6" ht="33" customHeight="1" x14ac:dyDescent="0.25">
      <c r="A277" s="532"/>
      <c r="B277" s="535"/>
      <c r="C277" s="260" t="s">
        <v>399</v>
      </c>
      <c r="D277" s="261">
        <v>758</v>
      </c>
      <c r="E277" s="170">
        <v>0</v>
      </c>
      <c r="F277" s="169">
        <v>0</v>
      </c>
    </row>
    <row r="278" spans="1:6" ht="15" customHeight="1" thickBot="1" x14ac:dyDescent="0.3">
      <c r="A278" s="533"/>
      <c r="B278" s="536"/>
      <c r="C278" s="265" t="s">
        <v>400</v>
      </c>
      <c r="D278" s="266">
        <v>758</v>
      </c>
      <c r="E278" s="193">
        <f>4326000+4000</f>
        <v>4330000</v>
      </c>
      <c r="F278" s="192">
        <f>3290500+1280000</f>
        <v>4570500</v>
      </c>
    </row>
    <row r="279" spans="1:6" ht="15" customHeight="1" x14ac:dyDescent="0.25">
      <c r="A279" s="531" t="s">
        <v>267</v>
      </c>
      <c r="B279" s="534" t="s">
        <v>268</v>
      </c>
      <c r="C279" s="255" t="s">
        <v>394</v>
      </c>
      <c r="D279" s="256">
        <v>758</v>
      </c>
      <c r="E279" s="257">
        <f>SUM(E280:E285)</f>
        <v>1000</v>
      </c>
      <c r="F279" s="258">
        <f>SUM(F280:F285)</f>
        <v>0</v>
      </c>
    </row>
    <row r="280" spans="1:6" ht="44.25" customHeight="1" x14ac:dyDescent="0.25">
      <c r="A280" s="532"/>
      <c r="B280" s="535"/>
      <c r="C280" s="260" t="s">
        <v>395</v>
      </c>
      <c r="D280" s="261">
        <v>758</v>
      </c>
      <c r="E280" s="170">
        <v>0</v>
      </c>
      <c r="F280" s="169">
        <v>0</v>
      </c>
    </row>
    <row r="281" spans="1:6" ht="15.75" customHeight="1" x14ac:dyDescent="0.25">
      <c r="A281" s="532"/>
      <c r="B281" s="535"/>
      <c r="C281" s="260" t="s">
        <v>396</v>
      </c>
      <c r="D281" s="261">
        <v>758</v>
      </c>
      <c r="E281" s="170">
        <f>1000-322.7-677.3+1000</f>
        <v>1000</v>
      </c>
      <c r="F281" s="169">
        <v>0</v>
      </c>
    </row>
    <row r="282" spans="1:6" ht="22.5" customHeight="1" x14ac:dyDescent="0.25">
      <c r="A282" s="532"/>
      <c r="B282" s="535"/>
      <c r="C282" s="260" t="s">
        <v>397</v>
      </c>
      <c r="D282" s="261">
        <v>758</v>
      </c>
      <c r="E282" s="170">
        <v>0</v>
      </c>
      <c r="F282" s="169">
        <v>0</v>
      </c>
    </row>
    <row r="283" spans="1:6" ht="33" customHeight="1" x14ac:dyDescent="0.25">
      <c r="A283" s="532"/>
      <c r="B283" s="535"/>
      <c r="C283" s="260" t="s">
        <v>398</v>
      </c>
      <c r="D283" s="261">
        <v>758</v>
      </c>
      <c r="E283" s="170">
        <v>0</v>
      </c>
      <c r="F283" s="169">
        <v>0</v>
      </c>
    </row>
    <row r="284" spans="1:6" ht="25.5" customHeight="1" x14ac:dyDescent="0.25">
      <c r="A284" s="532"/>
      <c r="B284" s="535"/>
      <c r="C284" s="260" t="s">
        <v>399</v>
      </c>
      <c r="D284" s="261">
        <v>758</v>
      </c>
      <c r="E284" s="170">
        <v>0</v>
      </c>
      <c r="F284" s="169">
        <v>0</v>
      </c>
    </row>
    <row r="285" spans="1:6" ht="15.75" customHeight="1" thickBot="1" x14ac:dyDescent="0.3">
      <c r="A285" s="533"/>
      <c r="B285" s="536"/>
      <c r="C285" s="265" t="s">
        <v>400</v>
      </c>
      <c r="D285" s="266">
        <v>758</v>
      </c>
      <c r="E285" s="193">
        <f>4000-4000</f>
        <v>0</v>
      </c>
      <c r="F285" s="192">
        <v>0</v>
      </c>
    </row>
    <row r="286" spans="1:6" ht="15" customHeight="1" x14ac:dyDescent="0.25">
      <c r="A286" s="531" t="s">
        <v>269</v>
      </c>
      <c r="B286" s="534" t="s">
        <v>270</v>
      </c>
      <c r="C286" s="255" t="s">
        <v>394</v>
      </c>
      <c r="D286" s="256">
        <v>758</v>
      </c>
      <c r="E286" s="257">
        <f>SUM(E287:E292)</f>
        <v>127269.81</v>
      </c>
      <c r="F286" s="258">
        <f>SUM(F287:F292)</f>
        <v>117115.68</v>
      </c>
    </row>
    <row r="287" spans="1:6" ht="42" customHeight="1" x14ac:dyDescent="0.25">
      <c r="A287" s="532"/>
      <c r="B287" s="535"/>
      <c r="C287" s="260" t="s">
        <v>395</v>
      </c>
      <c r="D287" s="261">
        <v>758</v>
      </c>
      <c r="E287" s="170">
        <f>8403+42.9+72.5</f>
        <v>8518.4</v>
      </c>
      <c r="F287" s="169">
        <f>8403</f>
        <v>8403</v>
      </c>
    </row>
    <row r="288" spans="1:6" ht="20.25" customHeight="1" x14ac:dyDescent="0.25">
      <c r="A288" s="532"/>
      <c r="B288" s="535"/>
      <c r="C288" s="260" t="s">
        <v>396</v>
      </c>
      <c r="D288" s="261">
        <v>758</v>
      </c>
      <c r="E288" s="170">
        <v>18751.41</v>
      </c>
      <c r="F288" s="169">
        <v>18712.68</v>
      </c>
    </row>
    <row r="289" spans="1:7" ht="20.25" customHeight="1" x14ac:dyDescent="0.25">
      <c r="A289" s="532"/>
      <c r="B289" s="535"/>
      <c r="C289" s="260" t="s">
        <v>397</v>
      </c>
      <c r="D289" s="261">
        <v>758</v>
      </c>
      <c r="E289" s="170">
        <v>0</v>
      </c>
      <c r="F289" s="169">
        <v>0</v>
      </c>
    </row>
    <row r="290" spans="1:7" ht="29.25" customHeight="1" x14ac:dyDescent="0.25">
      <c r="A290" s="532"/>
      <c r="B290" s="535"/>
      <c r="C290" s="260" t="s">
        <v>398</v>
      </c>
      <c r="D290" s="261">
        <v>758</v>
      </c>
      <c r="E290" s="170">
        <v>0</v>
      </c>
      <c r="F290" s="169">
        <v>0</v>
      </c>
    </row>
    <row r="291" spans="1:7" ht="28.5" customHeight="1" x14ac:dyDescent="0.25">
      <c r="A291" s="532"/>
      <c r="B291" s="535"/>
      <c r="C291" s="260" t="s">
        <v>399</v>
      </c>
      <c r="D291" s="261">
        <v>758</v>
      </c>
      <c r="E291" s="170">
        <v>0</v>
      </c>
      <c r="F291" s="169">
        <v>0</v>
      </c>
    </row>
    <row r="292" spans="1:7" ht="15" customHeight="1" thickBot="1" x14ac:dyDescent="0.3">
      <c r="A292" s="533"/>
      <c r="B292" s="536"/>
      <c r="C292" s="265" t="s">
        <v>400</v>
      </c>
      <c r="D292" s="266">
        <v>758</v>
      </c>
      <c r="E292" s="193">
        <v>100000</v>
      </c>
      <c r="F292" s="192">
        <f>89000+1000</f>
        <v>90000</v>
      </c>
    </row>
    <row r="293" spans="1:7" ht="15" customHeight="1" x14ac:dyDescent="0.25">
      <c r="A293" s="537" t="s">
        <v>271</v>
      </c>
      <c r="B293" s="538" t="s">
        <v>272</v>
      </c>
      <c r="C293" s="255" t="s">
        <v>394</v>
      </c>
      <c r="D293" s="256">
        <v>758</v>
      </c>
      <c r="E293" s="267">
        <f>SUM(E294:E299)</f>
        <v>102924.98999999999</v>
      </c>
      <c r="F293" s="258">
        <f>SUM(F294:F299)</f>
        <v>24781.730000000003</v>
      </c>
    </row>
    <row r="294" spans="1:7" ht="45" x14ac:dyDescent="0.25">
      <c r="A294" s="532"/>
      <c r="B294" s="539"/>
      <c r="C294" s="260" t="s">
        <v>395</v>
      </c>
      <c r="D294" s="261">
        <v>758</v>
      </c>
      <c r="E294" s="170">
        <f t="shared" ref="E294:F299" si="8">E301+E308+E315</f>
        <v>15924.99</v>
      </c>
      <c r="F294" s="169">
        <f t="shared" si="8"/>
        <v>12868.28</v>
      </c>
      <c r="G294" s="175"/>
    </row>
    <row r="295" spans="1:7" x14ac:dyDescent="0.25">
      <c r="A295" s="532"/>
      <c r="B295" s="539"/>
      <c r="C295" s="260" t="s">
        <v>396</v>
      </c>
      <c r="D295" s="261">
        <v>758</v>
      </c>
      <c r="E295" s="170">
        <f t="shared" si="8"/>
        <v>44000</v>
      </c>
      <c r="F295" s="169">
        <f t="shared" si="8"/>
        <v>11913.45</v>
      </c>
    </row>
    <row r="296" spans="1:7" x14ac:dyDescent="0.25">
      <c r="A296" s="532"/>
      <c r="B296" s="539"/>
      <c r="C296" s="260" t="s">
        <v>397</v>
      </c>
      <c r="D296" s="261">
        <v>758</v>
      </c>
      <c r="E296" s="170">
        <f t="shared" si="8"/>
        <v>0</v>
      </c>
      <c r="F296" s="169">
        <f>F303+F310+F317</f>
        <v>0</v>
      </c>
    </row>
    <row r="297" spans="1:7" ht="30" x14ac:dyDescent="0.25">
      <c r="A297" s="532"/>
      <c r="B297" s="539"/>
      <c r="C297" s="260" t="s">
        <v>398</v>
      </c>
      <c r="D297" s="261">
        <v>758</v>
      </c>
      <c r="E297" s="170">
        <f t="shared" si="8"/>
        <v>0</v>
      </c>
      <c r="F297" s="169">
        <f t="shared" si="8"/>
        <v>0</v>
      </c>
    </row>
    <row r="298" spans="1:7" ht="30" x14ac:dyDescent="0.25">
      <c r="A298" s="532"/>
      <c r="B298" s="539"/>
      <c r="C298" s="260" t="s">
        <v>399</v>
      </c>
      <c r="D298" s="261">
        <v>758</v>
      </c>
      <c r="E298" s="170">
        <f t="shared" si="8"/>
        <v>0</v>
      </c>
      <c r="F298" s="169">
        <f>F305+F312+F319</f>
        <v>0</v>
      </c>
    </row>
    <row r="299" spans="1:7" ht="17.25" customHeight="1" thickBot="1" x14ac:dyDescent="0.3">
      <c r="A299" s="533"/>
      <c r="B299" s="540"/>
      <c r="C299" s="265" t="s">
        <v>400</v>
      </c>
      <c r="D299" s="266">
        <v>758</v>
      </c>
      <c r="E299" s="170">
        <f t="shared" si="8"/>
        <v>43000</v>
      </c>
      <c r="F299" s="192">
        <f t="shared" si="8"/>
        <v>0</v>
      </c>
    </row>
    <row r="300" spans="1:7" ht="15.75" customHeight="1" x14ac:dyDescent="0.25">
      <c r="A300" s="531" t="s">
        <v>273</v>
      </c>
      <c r="B300" s="534" t="s">
        <v>274</v>
      </c>
      <c r="C300" s="255" t="s">
        <v>394</v>
      </c>
      <c r="D300" s="256">
        <v>758</v>
      </c>
      <c r="E300" s="257">
        <f>SUM(E301:E306)</f>
        <v>7938.99</v>
      </c>
      <c r="F300" s="258">
        <f>SUM(F301:F306)</f>
        <v>74.83</v>
      </c>
    </row>
    <row r="301" spans="1:7" ht="44.25" customHeight="1" x14ac:dyDescent="0.25">
      <c r="A301" s="532"/>
      <c r="B301" s="535"/>
      <c r="C301" s="260" t="s">
        <v>395</v>
      </c>
      <c r="D301" s="261">
        <v>758</v>
      </c>
      <c r="E301" s="170">
        <f>1938.99</f>
        <v>1938.99</v>
      </c>
      <c r="F301" s="169">
        <f>40.17</f>
        <v>40.17</v>
      </c>
    </row>
    <row r="302" spans="1:7" ht="15.75" customHeight="1" x14ac:dyDescent="0.25">
      <c r="A302" s="532"/>
      <c r="B302" s="535"/>
      <c r="C302" s="260" t="s">
        <v>396</v>
      </c>
      <c r="D302" s="261">
        <v>758</v>
      </c>
      <c r="E302" s="170">
        <v>3000</v>
      </c>
      <c r="F302" s="169">
        <v>34.659999999999997</v>
      </c>
    </row>
    <row r="303" spans="1:7" ht="15.75" customHeight="1" x14ac:dyDescent="0.25">
      <c r="A303" s="532"/>
      <c r="B303" s="535"/>
      <c r="C303" s="260" t="s">
        <v>397</v>
      </c>
      <c r="D303" s="261">
        <v>758</v>
      </c>
      <c r="E303" s="170">
        <v>0</v>
      </c>
      <c r="F303" s="169">
        <v>0</v>
      </c>
    </row>
    <row r="304" spans="1:7" ht="28.5" customHeight="1" x14ac:dyDescent="0.25">
      <c r="A304" s="532"/>
      <c r="B304" s="535"/>
      <c r="C304" s="260" t="s">
        <v>398</v>
      </c>
      <c r="D304" s="261">
        <v>758</v>
      </c>
      <c r="E304" s="170">
        <v>0</v>
      </c>
      <c r="F304" s="169">
        <v>0</v>
      </c>
    </row>
    <row r="305" spans="1:6" ht="28.5" customHeight="1" x14ac:dyDescent="0.25">
      <c r="A305" s="532"/>
      <c r="B305" s="535"/>
      <c r="C305" s="260" t="s">
        <v>399</v>
      </c>
      <c r="D305" s="261">
        <v>758</v>
      </c>
      <c r="E305" s="170">
        <v>0</v>
      </c>
      <c r="F305" s="169">
        <v>0</v>
      </c>
    </row>
    <row r="306" spans="1:6" ht="15" customHeight="1" thickBot="1" x14ac:dyDescent="0.3">
      <c r="A306" s="533"/>
      <c r="B306" s="536"/>
      <c r="C306" s="265" t="s">
        <v>400</v>
      </c>
      <c r="D306" s="266">
        <v>758</v>
      </c>
      <c r="E306" s="193">
        <v>3000</v>
      </c>
      <c r="F306" s="192">
        <v>0</v>
      </c>
    </row>
    <row r="307" spans="1:6" x14ac:dyDescent="0.25">
      <c r="A307" s="531" t="s">
        <v>277</v>
      </c>
      <c r="B307" s="534" t="s">
        <v>278</v>
      </c>
      <c r="C307" s="255" t="s">
        <v>394</v>
      </c>
      <c r="D307" s="256">
        <v>758</v>
      </c>
      <c r="E307" s="257">
        <f>SUM(E308:E313)</f>
        <v>94986</v>
      </c>
      <c r="F307" s="258">
        <f>SUM(F308:F313)</f>
        <v>24706.9</v>
      </c>
    </row>
    <row r="308" spans="1:6" ht="42" customHeight="1" x14ac:dyDescent="0.25">
      <c r="A308" s="532"/>
      <c r="B308" s="535"/>
      <c r="C308" s="260" t="s">
        <v>395</v>
      </c>
      <c r="D308" s="261">
        <v>758</v>
      </c>
      <c r="E308" s="170">
        <f>13468+518</f>
        <v>13986</v>
      </c>
      <c r="F308" s="169">
        <f>12828.11</f>
        <v>12828.11</v>
      </c>
    </row>
    <row r="309" spans="1:6" ht="15.75" customHeight="1" x14ac:dyDescent="0.25">
      <c r="A309" s="532"/>
      <c r="B309" s="535"/>
      <c r="C309" s="260" t="s">
        <v>396</v>
      </c>
      <c r="D309" s="261">
        <v>758</v>
      </c>
      <c r="E309" s="170">
        <v>41000</v>
      </c>
      <c r="F309" s="169">
        <v>11878.79</v>
      </c>
    </row>
    <row r="310" spans="1:6" ht="19.5" customHeight="1" x14ac:dyDescent="0.25">
      <c r="A310" s="532"/>
      <c r="B310" s="535"/>
      <c r="C310" s="260" t="s">
        <v>397</v>
      </c>
      <c r="D310" s="261">
        <v>758</v>
      </c>
      <c r="E310" s="170">
        <v>0</v>
      </c>
      <c r="F310" s="169">
        <v>0</v>
      </c>
    </row>
    <row r="311" spans="1:6" ht="27.75" customHeight="1" x14ac:dyDescent="0.25">
      <c r="A311" s="532"/>
      <c r="B311" s="535"/>
      <c r="C311" s="260" t="s">
        <v>398</v>
      </c>
      <c r="D311" s="261">
        <v>758</v>
      </c>
      <c r="E311" s="170">
        <v>0</v>
      </c>
      <c r="F311" s="169">
        <v>0</v>
      </c>
    </row>
    <row r="312" spans="1:6" ht="30" customHeight="1" x14ac:dyDescent="0.25">
      <c r="A312" s="532"/>
      <c r="B312" s="535"/>
      <c r="C312" s="260" t="s">
        <v>399</v>
      </c>
      <c r="D312" s="261">
        <v>758</v>
      </c>
      <c r="E312" s="170">
        <v>0</v>
      </c>
      <c r="F312" s="169">
        <v>0</v>
      </c>
    </row>
    <row r="313" spans="1:6" ht="14.25" customHeight="1" thickBot="1" x14ac:dyDescent="0.3">
      <c r="A313" s="533"/>
      <c r="B313" s="536"/>
      <c r="C313" s="265" t="s">
        <v>400</v>
      </c>
      <c r="D313" s="266">
        <v>758</v>
      </c>
      <c r="E313" s="193">
        <v>40000</v>
      </c>
      <c r="F313" s="192">
        <v>0</v>
      </c>
    </row>
    <row r="314" spans="1:6" ht="17.25" customHeight="1" x14ac:dyDescent="0.25">
      <c r="A314" s="531" t="s">
        <v>279</v>
      </c>
      <c r="B314" s="534" t="s">
        <v>280</v>
      </c>
      <c r="C314" s="255" t="s">
        <v>394</v>
      </c>
      <c r="D314" s="256">
        <v>758</v>
      </c>
      <c r="E314" s="267">
        <f>SUM(E315:E320)</f>
        <v>0</v>
      </c>
      <c r="F314" s="258">
        <f>SUM(F315:F320)</f>
        <v>0</v>
      </c>
    </row>
    <row r="315" spans="1:6" ht="50.25" customHeight="1" x14ac:dyDescent="0.25">
      <c r="A315" s="532"/>
      <c r="B315" s="535"/>
      <c r="C315" s="260" t="s">
        <v>395</v>
      </c>
      <c r="D315" s="261">
        <v>758</v>
      </c>
      <c r="E315" s="170">
        <v>0</v>
      </c>
      <c r="F315" s="169">
        <v>0</v>
      </c>
    </row>
    <row r="316" spans="1:6" ht="19.5" customHeight="1" x14ac:dyDescent="0.25">
      <c r="A316" s="532"/>
      <c r="B316" s="535"/>
      <c r="C316" s="260" t="s">
        <v>396</v>
      </c>
      <c r="D316" s="261">
        <v>758</v>
      </c>
      <c r="E316" s="170">
        <v>0</v>
      </c>
      <c r="F316" s="169">
        <v>0</v>
      </c>
    </row>
    <row r="317" spans="1:6" ht="19.5" customHeight="1" x14ac:dyDescent="0.25">
      <c r="A317" s="532"/>
      <c r="B317" s="535"/>
      <c r="C317" s="260" t="s">
        <v>397</v>
      </c>
      <c r="D317" s="261">
        <v>758</v>
      </c>
      <c r="E317" s="170">
        <v>0</v>
      </c>
      <c r="F317" s="169">
        <v>0</v>
      </c>
    </row>
    <row r="318" spans="1:6" ht="28.5" customHeight="1" x14ac:dyDescent="0.25">
      <c r="A318" s="532"/>
      <c r="B318" s="535"/>
      <c r="C318" s="260" t="s">
        <v>398</v>
      </c>
      <c r="D318" s="261">
        <v>758</v>
      </c>
      <c r="E318" s="170">
        <v>0</v>
      </c>
      <c r="F318" s="169">
        <v>0</v>
      </c>
    </row>
    <row r="319" spans="1:6" ht="29.25" customHeight="1" x14ac:dyDescent="0.25">
      <c r="A319" s="532"/>
      <c r="B319" s="535"/>
      <c r="C319" s="260" t="s">
        <v>399</v>
      </c>
      <c r="D319" s="261">
        <v>758</v>
      </c>
      <c r="E319" s="170">
        <v>0</v>
      </c>
      <c r="F319" s="169">
        <v>0</v>
      </c>
    </row>
    <row r="320" spans="1:6" ht="13.5" customHeight="1" thickBot="1" x14ac:dyDescent="0.3">
      <c r="A320" s="533"/>
      <c r="B320" s="536"/>
      <c r="C320" s="265" t="s">
        <v>400</v>
      </c>
      <c r="D320" s="266">
        <v>758</v>
      </c>
      <c r="E320" s="268">
        <v>0</v>
      </c>
      <c r="F320" s="192">
        <v>0</v>
      </c>
    </row>
    <row r="321" spans="1:8" ht="11.25" customHeight="1" x14ac:dyDescent="0.25">
      <c r="A321" s="537" t="s">
        <v>281</v>
      </c>
      <c r="B321" s="538" t="s">
        <v>321</v>
      </c>
      <c r="C321" s="255" t="s">
        <v>394</v>
      </c>
      <c r="D321" s="256">
        <v>758</v>
      </c>
      <c r="E321" s="257">
        <f>SUM(E322:E327)</f>
        <v>42813.58</v>
      </c>
      <c r="F321" s="258">
        <f>SUM(F322:F327)</f>
        <v>37207.75</v>
      </c>
    </row>
    <row r="322" spans="1:8" ht="50.25" customHeight="1" x14ac:dyDescent="0.25">
      <c r="A322" s="532"/>
      <c r="B322" s="539"/>
      <c r="C322" s="260" t="s">
        <v>395</v>
      </c>
      <c r="D322" s="261">
        <v>758</v>
      </c>
      <c r="E322" s="170">
        <v>0</v>
      </c>
      <c r="F322" s="169">
        <v>0</v>
      </c>
      <c r="G322" s="175"/>
    </row>
    <row r="323" spans="1:8" ht="12.75" customHeight="1" x14ac:dyDescent="0.25">
      <c r="A323" s="532"/>
      <c r="B323" s="539"/>
      <c r="C323" s="260" t="s">
        <v>396</v>
      </c>
      <c r="D323" s="261">
        <v>758</v>
      </c>
      <c r="E323" s="170">
        <v>42813.58</v>
      </c>
      <c r="F323" s="169">
        <v>37207.75</v>
      </c>
    </row>
    <row r="324" spans="1:8" ht="20.25" customHeight="1" x14ac:dyDescent="0.25">
      <c r="A324" s="532"/>
      <c r="B324" s="539"/>
      <c r="C324" s="260" t="s">
        <v>397</v>
      </c>
      <c r="D324" s="261">
        <v>758</v>
      </c>
      <c r="E324" s="170">
        <v>0</v>
      </c>
      <c r="F324" s="169">
        <v>0</v>
      </c>
    </row>
    <row r="325" spans="1:8" ht="27" customHeight="1" x14ac:dyDescent="0.25">
      <c r="A325" s="532"/>
      <c r="B325" s="539"/>
      <c r="C325" s="260" t="s">
        <v>398</v>
      </c>
      <c r="D325" s="261">
        <v>758</v>
      </c>
      <c r="E325" s="170">
        <v>0</v>
      </c>
      <c r="F325" s="169">
        <v>0</v>
      </c>
    </row>
    <row r="326" spans="1:8" ht="28.5" customHeight="1" x14ac:dyDescent="0.25">
      <c r="A326" s="532"/>
      <c r="B326" s="539"/>
      <c r="C326" s="260" t="s">
        <v>399</v>
      </c>
      <c r="D326" s="261">
        <v>758</v>
      </c>
      <c r="E326" s="170">
        <v>0</v>
      </c>
      <c r="F326" s="169">
        <v>0</v>
      </c>
    </row>
    <row r="327" spans="1:8" ht="14.25" customHeight="1" thickBot="1" x14ac:dyDescent="0.3">
      <c r="A327" s="533"/>
      <c r="B327" s="540"/>
      <c r="C327" s="265" t="s">
        <v>400</v>
      </c>
      <c r="D327" s="266">
        <v>758</v>
      </c>
      <c r="E327" s="193">
        <v>0</v>
      </c>
      <c r="F327" s="192">
        <v>0</v>
      </c>
    </row>
    <row r="328" spans="1:8" ht="15" customHeight="1" x14ac:dyDescent="0.25">
      <c r="A328" s="537" t="s">
        <v>287</v>
      </c>
      <c r="B328" s="538" t="s">
        <v>288</v>
      </c>
      <c r="C328" s="255" t="s">
        <v>394</v>
      </c>
      <c r="D328" s="256" t="s">
        <v>402</v>
      </c>
      <c r="E328" s="257">
        <f>SUM(E329:E334)</f>
        <v>256073.78999999998</v>
      </c>
      <c r="F328" s="258">
        <f>SUM(F329:F334)</f>
        <v>349118.71999999997</v>
      </c>
    </row>
    <row r="329" spans="1:8" ht="45" x14ac:dyDescent="0.25">
      <c r="A329" s="532"/>
      <c r="B329" s="539"/>
      <c r="C329" s="260" t="s">
        <v>395</v>
      </c>
      <c r="D329" s="261">
        <v>758</v>
      </c>
      <c r="E329" s="170">
        <f t="shared" ref="E329:F334" si="9">E336+E343+E350</f>
        <v>69378</v>
      </c>
      <c r="F329" s="169">
        <f t="shared" si="9"/>
        <v>69000.72</v>
      </c>
      <c r="G329" s="231"/>
    </row>
    <row r="330" spans="1:8" x14ac:dyDescent="0.25">
      <c r="A330" s="532"/>
      <c r="B330" s="539"/>
      <c r="C330" s="260" t="s">
        <v>396</v>
      </c>
      <c r="D330" s="261" t="s">
        <v>402</v>
      </c>
      <c r="E330" s="262">
        <f t="shared" si="9"/>
        <v>124750.79</v>
      </c>
      <c r="F330" s="274">
        <f t="shared" si="9"/>
        <v>123950.89</v>
      </c>
      <c r="G330" s="231"/>
    </row>
    <row r="331" spans="1:8" x14ac:dyDescent="0.25">
      <c r="A331" s="532"/>
      <c r="B331" s="539"/>
      <c r="C331" s="260" t="s">
        <v>397</v>
      </c>
      <c r="D331" s="261">
        <v>758</v>
      </c>
      <c r="E331" s="170">
        <f t="shared" si="9"/>
        <v>0</v>
      </c>
      <c r="F331" s="169">
        <f t="shared" si="9"/>
        <v>7436.5599999999995</v>
      </c>
    </row>
    <row r="332" spans="1:8" ht="30" x14ac:dyDescent="0.25">
      <c r="A332" s="532"/>
      <c r="B332" s="539"/>
      <c r="C332" s="260" t="s">
        <v>398</v>
      </c>
      <c r="D332" s="261">
        <v>758</v>
      </c>
      <c r="E332" s="170">
        <f t="shared" si="9"/>
        <v>0</v>
      </c>
      <c r="F332" s="169">
        <f t="shared" si="9"/>
        <v>0</v>
      </c>
    </row>
    <row r="333" spans="1:8" ht="30" x14ac:dyDescent="0.25">
      <c r="A333" s="532"/>
      <c r="B333" s="539"/>
      <c r="C333" s="260" t="s">
        <v>399</v>
      </c>
      <c r="D333" s="261">
        <v>758</v>
      </c>
      <c r="E333" s="170">
        <f t="shared" si="9"/>
        <v>0</v>
      </c>
      <c r="F333" s="169">
        <f t="shared" si="9"/>
        <v>0</v>
      </c>
    </row>
    <row r="334" spans="1:8" ht="17.25" customHeight="1" thickBot="1" x14ac:dyDescent="0.3">
      <c r="A334" s="533"/>
      <c r="B334" s="540"/>
      <c r="C334" s="265" t="s">
        <v>400</v>
      </c>
      <c r="D334" s="266">
        <v>758</v>
      </c>
      <c r="E334" s="193">
        <f t="shared" si="9"/>
        <v>61945</v>
      </c>
      <c r="F334" s="192">
        <f t="shared" si="9"/>
        <v>148730.54999999999</v>
      </c>
    </row>
    <row r="335" spans="1:8" ht="16.5" customHeight="1" x14ac:dyDescent="0.25">
      <c r="A335" s="541" t="s">
        <v>289</v>
      </c>
      <c r="B335" s="542" t="s">
        <v>290</v>
      </c>
      <c r="C335" s="269" t="s">
        <v>394</v>
      </c>
      <c r="D335" s="256">
        <v>758</v>
      </c>
      <c r="E335" s="267">
        <f>SUM(E336:E341)</f>
        <v>88828.09</v>
      </c>
      <c r="F335" s="270">
        <f>SUM(F336:F341)</f>
        <v>132783.21000000002</v>
      </c>
    </row>
    <row r="336" spans="1:8" ht="40.5" customHeight="1" x14ac:dyDescent="0.25">
      <c r="A336" s="532"/>
      <c r="B336" s="535"/>
      <c r="C336" s="260" t="s">
        <v>395</v>
      </c>
      <c r="D336" s="261">
        <v>758</v>
      </c>
      <c r="E336" s="170">
        <v>29911</v>
      </c>
      <c r="F336" s="169">
        <f>30297.79</f>
        <v>30297.79</v>
      </c>
      <c r="H336" s="231"/>
    </row>
    <row r="337" spans="1:8" ht="14.25" customHeight="1" x14ac:dyDescent="0.25">
      <c r="A337" s="532"/>
      <c r="B337" s="535"/>
      <c r="C337" s="260" t="s">
        <v>396</v>
      </c>
      <c r="D337" s="261">
        <v>758</v>
      </c>
      <c r="E337" s="170">
        <f>32404-192.91</f>
        <v>32211.09</v>
      </c>
      <c r="F337" s="169">
        <v>32211.09</v>
      </c>
      <c r="H337" s="175"/>
    </row>
    <row r="338" spans="1:8" ht="18.75" customHeight="1" x14ac:dyDescent="0.25">
      <c r="A338" s="532"/>
      <c r="B338" s="535"/>
      <c r="C338" s="260" t="s">
        <v>397</v>
      </c>
      <c r="D338" s="261">
        <v>758</v>
      </c>
      <c r="E338" s="170">
        <v>0</v>
      </c>
      <c r="F338" s="169">
        <v>2148.16</v>
      </c>
    </row>
    <row r="339" spans="1:8" ht="25.5" customHeight="1" x14ac:dyDescent="0.25">
      <c r="A339" s="532"/>
      <c r="B339" s="535"/>
      <c r="C339" s="260" t="s">
        <v>398</v>
      </c>
      <c r="D339" s="261">
        <v>758</v>
      </c>
      <c r="E339" s="170">
        <v>0</v>
      </c>
      <c r="F339" s="169">
        <v>0</v>
      </c>
      <c r="H339" s="175"/>
    </row>
    <row r="340" spans="1:8" ht="27.75" customHeight="1" x14ac:dyDescent="0.25">
      <c r="A340" s="532"/>
      <c r="B340" s="535"/>
      <c r="C340" s="260" t="s">
        <v>399</v>
      </c>
      <c r="D340" s="261">
        <v>758</v>
      </c>
      <c r="E340" s="170">
        <v>0</v>
      </c>
      <c r="F340" s="169">
        <v>0</v>
      </c>
    </row>
    <row r="341" spans="1:8" ht="15.75" customHeight="1" thickBot="1" x14ac:dyDescent="0.3">
      <c r="A341" s="533"/>
      <c r="B341" s="536"/>
      <c r="C341" s="265" t="s">
        <v>400</v>
      </c>
      <c r="D341" s="266">
        <v>758</v>
      </c>
      <c r="E341" s="193">
        <v>26706</v>
      </c>
      <c r="F341" s="192">
        <v>68126.17</v>
      </c>
    </row>
    <row r="342" spans="1:8" ht="17.25" customHeight="1" x14ac:dyDescent="0.25">
      <c r="A342" s="531" t="s">
        <v>293</v>
      </c>
      <c r="B342" s="534" t="s">
        <v>294</v>
      </c>
      <c r="C342" s="255" t="s">
        <v>394</v>
      </c>
      <c r="D342" s="256">
        <v>758</v>
      </c>
      <c r="E342" s="257">
        <f>SUM(E343:E348)</f>
        <v>117245.7</v>
      </c>
      <c r="F342" s="258">
        <f>SUM(F343:F348)</f>
        <v>167135.4</v>
      </c>
    </row>
    <row r="343" spans="1:8" ht="45" customHeight="1" x14ac:dyDescent="0.25">
      <c r="A343" s="532"/>
      <c r="B343" s="535"/>
      <c r="C343" s="260" t="s">
        <v>395</v>
      </c>
      <c r="D343" s="261">
        <v>758</v>
      </c>
      <c r="E343" s="170">
        <v>39467</v>
      </c>
      <c r="F343" s="169">
        <f>38702.93</f>
        <v>38702.93</v>
      </c>
    </row>
    <row r="344" spans="1:8" ht="18.75" customHeight="1" x14ac:dyDescent="0.25">
      <c r="A344" s="532"/>
      <c r="B344" s="535"/>
      <c r="C344" s="260" t="s">
        <v>396</v>
      </c>
      <c r="D344" s="261">
        <v>758</v>
      </c>
      <c r="E344" s="170">
        <f>42756-216.3</f>
        <v>42539.7</v>
      </c>
      <c r="F344" s="169">
        <v>42539.69</v>
      </c>
    </row>
    <row r="345" spans="1:8" ht="18.75" customHeight="1" x14ac:dyDescent="0.25">
      <c r="A345" s="532"/>
      <c r="B345" s="535"/>
      <c r="C345" s="260" t="s">
        <v>397</v>
      </c>
      <c r="D345" s="261">
        <v>758</v>
      </c>
      <c r="E345" s="170">
        <v>0</v>
      </c>
      <c r="F345" s="169">
        <v>5288.4</v>
      </c>
    </row>
    <row r="346" spans="1:8" ht="29.25" customHeight="1" x14ac:dyDescent="0.25">
      <c r="A346" s="532"/>
      <c r="B346" s="535"/>
      <c r="C346" s="260" t="s">
        <v>398</v>
      </c>
      <c r="D346" s="261">
        <v>758</v>
      </c>
      <c r="E346" s="170">
        <v>0</v>
      </c>
      <c r="F346" s="169">
        <v>0</v>
      </c>
    </row>
    <row r="347" spans="1:8" ht="34.5" customHeight="1" x14ac:dyDescent="0.25">
      <c r="A347" s="532"/>
      <c r="B347" s="535"/>
      <c r="C347" s="260" t="s">
        <v>399</v>
      </c>
      <c r="D347" s="261">
        <v>758</v>
      </c>
      <c r="E347" s="170">
        <v>0</v>
      </c>
      <c r="F347" s="169">
        <v>0</v>
      </c>
    </row>
    <row r="348" spans="1:8" ht="14.25" customHeight="1" thickBot="1" x14ac:dyDescent="0.3">
      <c r="A348" s="533"/>
      <c r="B348" s="536"/>
      <c r="C348" s="265" t="s">
        <v>400</v>
      </c>
      <c r="D348" s="266">
        <v>758</v>
      </c>
      <c r="E348" s="193">
        <v>35239</v>
      </c>
      <c r="F348" s="192">
        <v>80604.38</v>
      </c>
    </row>
    <row r="349" spans="1:8" ht="15" customHeight="1" x14ac:dyDescent="0.25">
      <c r="A349" s="531" t="s">
        <v>295</v>
      </c>
      <c r="B349" s="534" t="s">
        <v>303</v>
      </c>
      <c r="C349" s="255" t="s">
        <v>394</v>
      </c>
      <c r="D349" s="256">
        <v>759</v>
      </c>
      <c r="E349" s="257">
        <f>SUM(E350:E355)</f>
        <v>50000</v>
      </c>
      <c r="F349" s="258">
        <f>SUM(F350:F355)</f>
        <v>49200.11</v>
      </c>
    </row>
    <row r="350" spans="1:8" ht="45" customHeight="1" x14ac:dyDescent="0.25">
      <c r="A350" s="532"/>
      <c r="B350" s="535"/>
      <c r="C350" s="260" t="s">
        <v>395</v>
      </c>
      <c r="D350" s="261">
        <v>759</v>
      </c>
      <c r="E350" s="170">
        <v>0</v>
      </c>
      <c r="F350" s="169">
        <v>0</v>
      </c>
    </row>
    <row r="351" spans="1:8" ht="14.25" customHeight="1" x14ac:dyDescent="0.25">
      <c r="A351" s="532"/>
      <c r="B351" s="535"/>
      <c r="C351" s="260" t="s">
        <v>396</v>
      </c>
      <c r="D351" s="261">
        <v>759</v>
      </c>
      <c r="E351" s="170">
        <v>50000</v>
      </c>
      <c r="F351" s="274">
        <v>49200.11</v>
      </c>
    </row>
    <row r="352" spans="1:8" ht="14.25" customHeight="1" x14ac:dyDescent="0.25">
      <c r="A352" s="532"/>
      <c r="B352" s="535"/>
      <c r="C352" s="260" t="s">
        <v>397</v>
      </c>
      <c r="D352" s="261">
        <v>759</v>
      </c>
      <c r="E352" s="170">
        <v>0</v>
      </c>
      <c r="F352" s="169">
        <v>0</v>
      </c>
    </row>
    <row r="353" spans="1:6" ht="14.25" customHeight="1" x14ac:dyDescent="0.25">
      <c r="A353" s="532"/>
      <c r="B353" s="535"/>
      <c r="C353" s="260" t="s">
        <v>398</v>
      </c>
      <c r="D353" s="261">
        <v>759</v>
      </c>
      <c r="E353" s="170">
        <v>0</v>
      </c>
      <c r="F353" s="169">
        <v>0</v>
      </c>
    </row>
    <row r="354" spans="1:6" ht="14.25" customHeight="1" x14ac:dyDescent="0.25">
      <c r="A354" s="532"/>
      <c r="B354" s="535"/>
      <c r="C354" s="260" t="s">
        <v>399</v>
      </c>
      <c r="D354" s="261">
        <v>759</v>
      </c>
      <c r="E354" s="170">
        <v>0</v>
      </c>
      <c r="F354" s="169">
        <v>0</v>
      </c>
    </row>
    <row r="355" spans="1:6" ht="23.25" customHeight="1" thickBot="1" x14ac:dyDescent="0.3">
      <c r="A355" s="533"/>
      <c r="B355" s="536"/>
      <c r="C355" s="265" t="s">
        <v>400</v>
      </c>
      <c r="D355" s="275">
        <v>759</v>
      </c>
      <c r="E355" s="193">
        <v>0</v>
      </c>
      <c r="F355" s="192">
        <v>0</v>
      </c>
    </row>
    <row r="356" spans="1:6" x14ac:dyDescent="0.25">
      <c r="D356" s="276"/>
    </row>
    <row r="357" spans="1:6" x14ac:dyDescent="0.25">
      <c r="D357" s="276"/>
    </row>
    <row r="358" spans="1:6" x14ac:dyDescent="0.25">
      <c r="D358" s="276"/>
    </row>
    <row r="359" spans="1:6" x14ac:dyDescent="0.25">
      <c r="D359" s="276"/>
    </row>
  </sheetData>
  <mergeCells count="100">
    <mergeCell ref="A14:F14"/>
    <mergeCell ref="A15:F15"/>
    <mergeCell ref="A16:F16"/>
    <mergeCell ref="A17:F17"/>
    <mergeCell ref="A20:A26"/>
    <mergeCell ref="B20:B26"/>
    <mergeCell ref="A27:A33"/>
    <mergeCell ref="B27:B33"/>
    <mergeCell ref="A34:A40"/>
    <mergeCell ref="B34:B40"/>
    <mergeCell ref="A41:A47"/>
    <mergeCell ref="B41:B47"/>
    <mergeCell ref="A48:A54"/>
    <mergeCell ref="B48:B54"/>
    <mergeCell ref="A55:A61"/>
    <mergeCell ref="B55:B61"/>
    <mergeCell ref="A62:A68"/>
    <mergeCell ref="B62:B68"/>
    <mergeCell ref="A69:A75"/>
    <mergeCell ref="B69:B75"/>
    <mergeCell ref="A76:A82"/>
    <mergeCell ref="B76:B82"/>
    <mergeCell ref="A83:A89"/>
    <mergeCell ref="B83:B89"/>
    <mergeCell ref="A90:A96"/>
    <mergeCell ref="B90:B96"/>
    <mergeCell ref="A97:A103"/>
    <mergeCell ref="B97:B103"/>
    <mergeCell ref="A104:A110"/>
    <mergeCell ref="B104:B110"/>
    <mergeCell ref="A111:A117"/>
    <mergeCell ref="B111:B117"/>
    <mergeCell ref="A118:A124"/>
    <mergeCell ref="B118:B124"/>
    <mergeCell ref="A125:A131"/>
    <mergeCell ref="B125:B131"/>
    <mergeCell ref="A132:A138"/>
    <mergeCell ref="B132:B138"/>
    <mergeCell ref="A139:A145"/>
    <mergeCell ref="B139:B145"/>
    <mergeCell ref="A146:A152"/>
    <mergeCell ref="B146:B152"/>
    <mergeCell ref="A153:A159"/>
    <mergeCell ref="B153:B159"/>
    <mergeCell ref="A160:A166"/>
    <mergeCell ref="B160:B166"/>
    <mergeCell ref="A167:A173"/>
    <mergeCell ref="B167:B173"/>
    <mergeCell ref="A174:A180"/>
    <mergeCell ref="B174:B180"/>
    <mergeCell ref="A181:A187"/>
    <mergeCell ref="B181:B187"/>
    <mergeCell ref="A188:A194"/>
    <mergeCell ref="B188:B194"/>
    <mergeCell ref="A195:A201"/>
    <mergeCell ref="B195:B201"/>
    <mergeCell ref="A202:A208"/>
    <mergeCell ref="B202:B208"/>
    <mergeCell ref="A209:A215"/>
    <mergeCell ref="B209:B215"/>
    <mergeCell ref="A216:A222"/>
    <mergeCell ref="B216:B222"/>
    <mergeCell ref="A223:A229"/>
    <mergeCell ref="B223:B229"/>
    <mergeCell ref="A230:A236"/>
    <mergeCell ref="B230:B236"/>
    <mergeCell ref="A237:A243"/>
    <mergeCell ref="B237:B243"/>
    <mergeCell ref="A244:A250"/>
    <mergeCell ref="B244:B250"/>
    <mergeCell ref="A251:A257"/>
    <mergeCell ref="B251:B257"/>
    <mergeCell ref="A258:A264"/>
    <mergeCell ref="B258:B264"/>
    <mergeCell ref="A265:A271"/>
    <mergeCell ref="B265:B271"/>
    <mergeCell ref="A272:A278"/>
    <mergeCell ref="B272:B278"/>
    <mergeCell ref="A279:A285"/>
    <mergeCell ref="B279:B285"/>
    <mergeCell ref="A286:A292"/>
    <mergeCell ref="B286:B292"/>
    <mergeCell ref="A293:A299"/>
    <mergeCell ref="B293:B299"/>
    <mergeCell ref="A300:A306"/>
    <mergeCell ref="B300:B306"/>
    <mergeCell ref="A307:A313"/>
    <mergeCell ref="B307:B313"/>
    <mergeCell ref="A314:A320"/>
    <mergeCell ref="B314:B320"/>
    <mergeCell ref="A342:A348"/>
    <mergeCell ref="B342:B348"/>
    <mergeCell ref="A349:A355"/>
    <mergeCell ref="B349:B355"/>
    <mergeCell ref="A321:A327"/>
    <mergeCell ref="B321:B327"/>
    <mergeCell ref="A328:A334"/>
    <mergeCell ref="B328:B334"/>
    <mergeCell ref="A335:A341"/>
    <mergeCell ref="B335:B341"/>
  </mergeCells>
  <pageMargins left="0.28000000000000003" right="0.22" top="0.22" bottom="0.26" header="0.16" footer="0.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A30" zoomScaleNormal="100" workbookViewId="0">
      <selection activeCell="E47" sqref="E47"/>
    </sheetView>
  </sheetViews>
  <sheetFormatPr defaultRowHeight="15" x14ac:dyDescent="0.25"/>
  <cols>
    <col min="1" max="1" width="5.85546875" style="1" customWidth="1"/>
    <col min="2" max="2" width="30.28515625" style="1" customWidth="1"/>
    <col min="3" max="3" width="14.140625" style="1" customWidth="1"/>
    <col min="4" max="4" width="12.42578125" style="1" customWidth="1"/>
    <col min="5" max="5" width="13.28515625" style="1" customWidth="1"/>
    <col min="6" max="6" width="12" style="1" customWidth="1"/>
    <col min="7" max="7" width="14" style="1" customWidth="1"/>
    <col min="8" max="9" width="15.85546875" style="1" customWidth="1"/>
    <col min="10" max="258" width="9.140625" style="1"/>
    <col min="259" max="259" width="5.85546875" style="1" customWidth="1"/>
    <col min="260" max="260" width="30.28515625" style="1" customWidth="1"/>
    <col min="261" max="261" width="14.140625" style="1" customWidth="1"/>
    <col min="262" max="262" width="18.28515625" style="1" customWidth="1"/>
    <col min="263" max="264" width="17.42578125" style="1" customWidth="1"/>
    <col min="265" max="265" width="19.140625" style="1" customWidth="1"/>
    <col min="266" max="514" width="9.140625" style="1"/>
    <col min="515" max="515" width="5.85546875" style="1" customWidth="1"/>
    <col min="516" max="516" width="30.28515625" style="1" customWidth="1"/>
    <col min="517" max="517" width="14.140625" style="1" customWidth="1"/>
    <col min="518" max="518" width="18.28515625" style="1" customWidth="1"/>
    <col min="519" max="520" width="17.42578125" style="1" customWidth="1"/>
    <col min="521" max="521" width="19.140625" style="1" customWidth="1"/>
    <col min="522" max="770" width="9.140625" style="1"/>
    <col min="771" max="771" width="5.85546875" style="1" customWidth="1"/>
    <col min="772" max="772" width="30.28515625" style="1" customWidth="1"/>
    <col min="773" max="773" width="14.140625" style="1" customWidth="1"/>
    <col min="774" max="774" width="18.28515625" style="1" customWidth="1"/>
    <col min="775" max="776" width="17.42578125" style="1" customWidth="1"/>
    <col min="777" max="777" width="19.140625" style="1" customWidth="1"/>
    <col min="778" max="1026" width="9.140625" style="1"/>
    <col min="1027" max="1027" width="5.85546875" style="1" customWidth="1"/>
    <col min="1028" max="1028" width="30.28515625" style="1" customWidth="1"/>
    <col min="1029" max="1029" width="14.140625" style="1" customWidth="1"/>
    <col min="1030" max="1030" width="18.28515625" style="1" customWidth="1"/>
    <col min="1031" max="1032" width="17.42578125" style="1" customWidth="1"/>
    <col min="1033" max="1033" width="19.140625" style="1" customWidth="1"/>
    <col min="1034" max="1282" width="9.140625" style="1"/>
    <col min="1283" max="1283" width="5.85546875" style="1" customWidth="1"/>
    <col min="1284" max="1284" width="30.28515625" style="1" customWidth="1"/>
    <col min="1285" max="1285" width="14.140625" style="1" customWidth="1"/>
    <col min="1286" max="1286" width="18.28515625" style="1" customWidth="1"/>
    <col min="1287" max="1288" width="17.42578125" style="1" customWidth="1"/>
    <col min="1289" max="1289" width="19.140625" style="1" customWidth="1"/>
    <col min="1290" max="1538" width="9.140625" style="1"/>
    <col min="1539" max="1539" width="5.85546875" style="1" customWidth="1"/>
    <col min="1540" max="1540" width="30.28515625" style="1" customWidth="1"/>
    <col min="1541" max="1541" width="14.140625" style="1" customWidth="1"/>
    <col min="1542" max="1542" width="18.28515625" style="1" customWidth="1"/>
    <col min="1543" max="1544" width="17.42578125" style="1" customWidth="1"/>
    <col min="1545" max="1545" width="19.140625" style="1" customWidth="1"/>
    <col min="1546" max="1794" width="9.140625" style="1"/>
    <col min="1795" max="1795" width="5.85546875" style="1" customWidth="1"/>
    <col min="1796" max="1796" width="30.28515625" style="1" customWidth="1"/>
    <col min="1797" max="1797" width="14.140625" style="1" customWidth="1"/>
    <col min="1798" max="1798" width="18.28515625" style="1" customWidth="1"/>
    <col min="1799" max="1800" width="17.42578125" style="1" customWidth="1"/>
    <col min="1801" max="1801" width="19.140625" style="1" customWidth="1"/>
    <col min="1802" max="2050" width="9.140625" style="1"/>
    <col min="2051" max="2051" width="5.85546875" style="1" customWidth="1"/>
    <col min="2052" max="2052" width="30.28515625" style="1" customWidth="1"/>
    <col min="2053" max="2053" width="14.140625" style="1" customWidth="1"/>
    <col min="2054" max="2054" width="18.28515625" style="1" customWidth="1"/>
    <col min="2055" max="2056" width="17.42578125" style="1" customWidth="1"/>
    <col min="2057" max="2057" width="19.140625" style="1" customWidth="1"/>
    <col min="2058" max="2306" width="9.140625" style="1"/>
    <col min="2307" max="2307" width="5.85546875" style="1" customWidth="1"/>
    <col min="2308" max="2308" width="30.28515625" style="1" customWidth="1"/>
    <col min="2309" max="2309" width="14.140625" style="1" customWidth="1"/>
    <col min="2310" max="2310" width="18.28515625" style="1" customWidth="1"/>
    <col min="2311" max="2312" width="17.42578125" style="1" customWidth="1"/>
    <col min="2313" max="2313" width="19.140625" style="1" customWidth="1"/>
    <col min="2314" max="2562" width="9.140625" style="1"/>
    <col min="2563" max="2563" width="5.85546875" style="1" customWidth="1"/>
    <col min="2564" max="2564" width="30.28515625" style="1" customWidth="1"/>
    <col min="2565" max="2565" width="14.140625" style="1" customWidth="1"/>
    <col min="2566" max="2566" width="18.28515625" style="1" customWidth="1"/>
    <col min="2567" max="2568" width="17.42578125" style="1" customWidth="1"/>
    <col min="2569" max="2569" width="19.140625" style="1" customWidth="1"/>
    <col min="2570" max="2818" width="9.140625" style="1"/>
    <col min="2819" max="2819" width="5.85546875" style="1" customWidth="1"/>
    <col min="2820" max="2820" width="30.28515625" style="1" customWidth="1"/>
    <col min="2821" max="2821" width="14.140625" style="1" customWidth="1"/>
    <col min="2822" max="2822" width="18.28515625" style="1" customWidth="1"/>
    <col min="2823" max="2824" width="17.42578125" style="1" customWidth="1"/>
    <col min="2825" max="2825" width="19.140625" style="1" customWidth="1"/>
    <col min="2826" max="3074" width="9.140625" style="1"/>
    <col min="3075" max="3075" width="5.85546875" style="1" customWidth="1"/>
    <col min="3076" max="3076" width="30.28515625" style="1" customWidth="1"/>
    <col min="3077" max="3077" width="14.140625" style="1" customWidth="1"/>
    <col min="3078" max="3078" width="18.28515625" style="1" customWidth="1"/>
    <col min="3079" max="3080" width="17.42578125" style="1" customWidth="1"/>
    <col min="3081" max="3081" width="19.140625" style="1" customWidth="1"/>
    <col min="3082" max="3330" width="9.140625" style="1"/>
    <col min="3331" max="3331" width="5.85546875" style="1" customWidth="1"/>
    <col min="3332" max="3332" width="30.28515625" style="1" customWidth="1"/>
    <col min="3333" max="3333" width="14.140625" style="1" customWidth="1"/>
    <col min="3334" max="3334" width="18.28515625" style="1" customWidth="1"/>
    <col min="3335" max="3336" width="17.42578125" style="1" customWidth="1"/>
    <col min="3337" max="3337" width="19.140625" style="1" customWidth="1"/>
    <col min="3338" max="3586" width="9.140625" style="1"/>
    <col min="3587" max="3587" width="5.85546875" style="1" customWidth="1"/>
    <col min="3588" max="3588" width="30.28515625" style="1" customWidth="1"/>
    <col min="3589" max="3589" width="14.140625" style="1" customWidth="1"/>
    <col min="3590" max="3590" width="18.28515625" style="1" customWidth="1"/>
    <col min="3591" max="3592" width="17.42578125" style="1" customWidth="1"/>
    <col min="3593" max="3593" width="19.140625" style="1" customWidth="1"/>
    <col min="3594" max="3842" width="9.140625" style="1"/>
    <col min="3843" max="3843" width="5.85546875" style="1" customWidth="1"/>
    <col min="3844" max="3844" width="30.28515625" style="1" customWidth="1"/>
    <col min="3845" max="3845" width="14.140625" style="1" customWidth="1"/>
    <col min="3846" max="3846" width="18.28515625" style="1" customWidth="1"/>
    <col min="3847" max="3848" width="17.42578125" style="1" customWidth="1"/>
    <col min="3849" max="3849" width="19.140625" style="1" customWidth="1"/>
    <col min="3850" max="4098" width="9.140625" style="1"/>
    <col min="4099" max="4099" width="5.85546875" style="1" customWidth="1"/>
    <col min="4100" max="4100" width="30.28515625" style="1" customWidth="1"/>
    <col min="4101" max="4101" width="14.140625" style="1" customWidth="1"/>
    <col min="4102" max="4102" width="18.28515625" style="1" customWidth="1"/>
    <col min="4103" max="4104" width="17.42578125" style="1" customWidth="1"/>
    <col min="4105" max="4105" width="19.140625" style="1" customWidth="1"/>
    <col min="4106" max="4354" width="9.140625" style="1"/>
    <col min="4355" max="4355" width="5.85546875" style="1" customWidth="1"/>
    <col min="4356" max="4356" width="30.28515625" style="1" customWidth="1"/>
    <col min="4357" max="4357" width="14.140625" style="1" customWidth="1"/>
    <col min="4358" max="4358" width="18.28515625" style="1" customWidth="1"/>
    <col min="4359" max="4360" width="17.42578125" style="1" customWidth="1"/>
    <col min="4361" max="4361" width="19.140625" style="1" customWidth="1"/>
    <col min="4362" max="4610" width="9.140625" style="1"/>
    <col min="4611" max="4611" width="5.85546875" style="1" customWidth="1"/>
    <col min="4612" max="4612" width="30.28515625" style="1" customWidth="1"/>
    <col min="4613" max="4613" width="14.140625" style="1" customWidth="1"/>
    <col min="4614" max="4614" width="18.28515625" style="1" customWidth="1"/>
    <col min="4615" max="4616" width="17.42578125" style="1" customWidth="1"/>
    <col min="4617" max="4617" width="19.140625" style="1" customWidth="1"/>
    <col min="4618" max="4866" width="9.140625" style="1"/>
    <col min="4867" max="4867" width="5.85546875" style="1" customWidth="1"/>
    <col min="4868" max="4868" width="30.28515625" style="1" customWidth="1"/>
    <col min="4869" max="4869" width="14.140625" style="1" customWidth="1"/>
    <col min="4870" max="4870" width="18.28515625" style="1" customWidth="1"/>
    <col min="4871" max="4872" width="17.42578125" style="1" customWidth="1"/>
    <col min="4873" max="4873" width="19.140625" style="1" customWidth="1"/>
    <col min="4874" max="5122" width="9.140625" style="1"/>
    <col min="5123" max="5123" width="5.85546875" style="1" customWidth="1"/>
    <col min="5124" max="5124" width="30.28515625" style="1" customWidth="1"/>
    <col min="5125" max="5125" width="14.140625" style="1" customWidth="1"/>
    <col min="5126" max="5126" width="18.28515625" style="1" customWidth="1"/>
    <col min="5127" max="5128" width="17.42578125" style="1" customWidth="1"/>
    <col min="5129" max="5129" width="19.140625" style="1" customWidth="1"/>
    <col min="5130" max="5378" width="9.140625" style="1"/>
    <col min="5379" max="5379" width="5.85546875" style="1" customWidth="1"/>
    <col min="5380" max="5380" width="30.28515625" style="1" customWidth="1"/>
    <col min="5381" max="5381" width="14.140625" style="1" customWidth="1"/>
    <col min="5382" max="5382" width="18.28515625" style="1" customWidth="1"/>
    <col min="5383" max="5384" width="17.42578125" style="1" customWidth="1"/>
    <col min="5385" max="5385" width="19.140625" style="1" customWidth="1"/>
    <col min="5386" max="5634" width="9.140625" style="1"/>
    <col min="5635" max="5635" width="5.85546875" style="1" customWidth="1"/>
    <col min="5636" max="5636" width="30.28515625" style="1" customWidth="1"/>
    <col min="5637" max="5637" width="14.140625" style="1" customWidth="1"/>
    <col min="5638" max="5638" width="18.28515625" style="1" customWidth="1"/>
    <col min="5639" max="5640" width="17.42578125" style="1" customWidth="1"/>
    <col min="5641" max="5641" width="19.140625" style="1" customWidth="1"/>
    <col min="5642" max="5890" width="9.140625" style="1"/>
    <col min="5891" max="5891" width="5.85546875" style="1" customWidth="1"/>
    <col min="5892" max="5892" width="30.28515625" style="1" customWidth="1"/>
    <col min="5893" max="5893" width="14.140625" style="1" customWidth="1"/>
    <col min="5894" max="5894" width="18.28515625" style="1" customWidth="1"/>
    <col min="5895" max="5896" width="17.42578125" style="1" customWidth="1"/>
    <col min="5897" max="5897" width="19.140625" style="1" customWidth="1"/>
    <col min="5898" max="6146" width="9.140625" style="1"/>
    <col min="6147" max="6147" width="5.85546875" style="1" customWidth="1"/>
    <col min="6148" max="6148" width="30.28515625" style="1" customWidth="1"/>
    <col min="6149" max="6149" width="14.140625" style="1" customWidth="1"/>
    <col min="6150" max="6150" width="18.28515625" style="1" customWidth="1"/>
    <col min="6151" max="6152" width="17.42578125" style="1" customWidth="1"/>
    <col min="6153" max="6153" width="19.140625" style="1" customWidth="1"/>
    <col min="6154" max="6402" width="9.140625" style="1"/>
    <col min="6403" max="6403" width="5.85546875" style="1" customWidth="1"/>
    <col min="6404" max="6404" width="30.28515625" style="1" customWidth="1"/>
    <col min="6405" max="6405" width="14.140625" style="1" customWidth="1"/>
    <col min="6406" max="6406" width="18.28515625" style="1" customWidth="1"/>
    <col min="6407" max="6408" width="17.42578125" style="1" customWidth="1"/>
    <col min="6409" max="6409" width="19.140625" style="1" customWidth="1"/>
    <col min="6410" max="6658" width="9.140625" style="1"/>
    <col min="6659" max="6659" width="5.85546875" style="1" customWidth="1"/>
    <col min="6660" max="6660" width="30.28515625" style="1" customWidth="1"/>
    <col min="6661" max="6661" width="14.140625" style="1" customWidth="1"/>
    <col min="6662" max="6662" width="18.28515625" style="1" customWidth="1"/>
    <col min="6663" max="6664" width="17.42578125" style="1" customWidth="1"/>
    <col min="6665" max="6665" width="19.140625" style="1" customWidth="1"/>
    <col min="6666" max="6914" width="9.140625" style="1"/>
    <col min="6915" max="6915" width="5.85546875" style="1" customWidth="1"/>
    <col min="6916" max="6916" width="30.28515625" style="1" customWidth="1"/>
    <col min="6917" max="6917" width="14.140625" style="1" customWidth="1"/>
    <col min="6918" max="6918" width="18.28515625" style="1" customWidth="1"/>
    <col min="6919" max="6920" width="17.42578125" style="1" customWidth="1"/>
    <col min="6921" max="6921" width="19.140625" style="1" customWidth="1"/>
    <col min="6922" max="7170" width="9.140625" style="1"/>
    <col min="7171" max="7171" width="5.85546875" style="1" customWidth="1"/>
    <col min="7172" max="7172" width="30.28515625" style="1" customWidth="1"/>
    <col min="7173" max="7173" width="14.140625" style="1" customWidth="1"/>
    <col min="7174" max="7174" width="18.28515625" style="1" customWidth="1"/>
    <col min="7175" max="7176" width="17.42578125" style="1" customWidth="1"/>
    <col min="7177" max="7177" width="19.140625" style="1" customWidth="1"/>
    <col min="7178" max="7426" width="9.140625" style="1"/>
    <col min="7427" max="7427" width="5.85546875" style="1" customWidth="1"/>
    <col min="7428" max="7428" width="30.28515625" style="1" customWidth="1"/>
    <col min="7429" max="7429" width="14.140625" style="1" customWidth="1"/>
    <col min="7430" max="7430" width="18.28515625" style="1" customWidth="1"/>
    <col min="7431" max="7432" width="17.42578125" style="1" customWidth="1"/>
    <col min="7433" max="7433" width="19.140625" style="1" customWidth="1"/>
    <col min="7434" max="7682" width="9.140625" style="1"/>
    <col min="7683" max="7683" width="5.85546875" style="1" customWidth="1"/>
    <col min="7684" max="7684" width="30.28515625" style="1" customWidth="1"/>
    <col min="7685" max="7685" width="14.140625" style="1" customWidth="1"/>
    <col min="7686" max="7686" width="18.28515625" style="1" customWidth="1"/>
    <col min="7687" max="7688" width="17.42578125" style="1" customWidth="1"/>
    <col min="7689" max="7689" width="19.140625" style="1" customWidth="1"/>
    <col min="7690" max="7938" width="9.140625" style="1"/>
    <col min="7939" max="7939" width="5.85546875" style="1" customWidth="1"/>
    <col min="7940" max="7940" width="30.28515625" style="1" customWidth="1"/>
    <col min="7941" max="7941" width="14.140625" style="1" customWidth="1"/>
    <col min="7942" max="7942" width="18.28515625" style="1" customWidth="1"/>
    <col min="7943" max="7944" width="17.42578125" style="1" customWidth="1"/>
    <col min="7945" max="7945" width="19.140625" style="1" customWidth="1"/>
    <col min="7946" max="8194" width="9.140625" style="1"/>
    <col min="8195" max="8195" width="5.85546875" style="1" customWidth="1"/>
    <col min="8196" max="8196" width="30.28515625" style="1" customWidth="1"/>
    <col min="8197" max="8197" width="14.140625" style="1" customWidth="1"/>
    <col min="8198" max="8198" width="18.28515625" style="1" customWidth="1"/>
    <col min="8199" max="8200" width="17.42578125" style="1" customWidth="1"/>
    <col min="8201" max="8201" width="19.140625" style="1" customWidth="1"/>
    <col min="8202" max="8450" width="9.140625" style="1"/>
    <col min="8451" max="8451" width="5.85546875" style="1" customWidth="1"/>
    <col min="8452" max="8452" width="30.28515625" style="1" customWidth="1"/>
    <col min="8453" max="8453" width="14.140625" style="1" customWidth="1"/>
    <col min="8454" max="8454" width="18.28515625" style="1" customWidth="1"/>
    <col min="8455" max="8456" width="17.42578125" style="1" customWidth="1"/>
    <col min="8457" max="8457" width="19.140625" style="1" customWidth="1"/>
    <col min="8458" max="8706" width="9.140625" style="1"/>
    <col min="8707" max="8707" width="5.85546875" style="1" customWidth="1"/>
    <col min="8708" max="8708" width="30.28515625" style="1" customWidth="1"/>
    <col min="8709" max="8709" width="14.140625" style="1" customWidth="1"/>
    <col min="8710" max="8710" width="18.28515625" style="1" customWidth="1"/>
    <col min="8711" max="8712" width="17.42578125" style="1" customWidth="1"/>
    <col min="8713" max="8713" width="19.140625" style="1" customWidth="1"/>
    <col min="8714" max="8962" width="9.140625" style="1"/>
    <col min="8963" max="8963" width="5.85546875" style="1" customWidth="1"/>
    <col min="8964" max="8964" width="30.28515625" style="1" customWidth="1"/>
    <col min="8965" max="8965" width="14.140625" style="1" customWidth="1"/>
    <col min="8966" max="8966" width="18.28515625" style="1" customWidth="1"/>
    <col min="8967" max="8968" width="17.42578125" style="1" customWidth="1"/>
    <col min="8969" max="8969" width="19.140625" style="1" customWidth="1"/>
    <col min="8970" max="9218" width="9.140625" style="1"/>
    <col min="9219" max="9219" width="5.85546875" style="1" customWidth="1"/>
    <col min="9220" max="9220" width="30.28515625" style="1" customWidth="1"/>
    <col min="9221" max="9221" width="14.140625" style="1" customWidth="1"/>
    <col min="9222" max="9222" width="18.28515625" style="1" customWidth="1"/>
    <col min="9223" max="9224" width="17.42578125" style="1" customWidth="1"/>
    <col min="9225" max="9225" width="19.140625" style="1" customWidth="1"/>
    <col min="9226" max="9474" width="9.140625" style="1"/>
    <col min="9475" max="9475" width="5.85546875" style="1" customWidth="1"/>
    <col min="9476" max="9476" width="30.28515625" style="1" customWidth="1"/>
    <col min="9477" max="9477" width="14.140625" style="1" customWidth="1"/>
    <col min="9478" max="9478" width="18.28515625" style="1" customWidth="1"/>
    <col min="9479" max="9480" width="17.42578125" style="1" customWidth="1"/>
    <col min="9481" max="9481" width="19.140625" style="1" customWidth="1"/>
    <col min="9482" max="9730" width="9.140625" style="1"/>
    <col min="9731" max="9731" width="5.85546875" style="1" customWidth="1"/>
    <col min="9732" max="9732" width="30.28515625" style="1" customWidth="1"/>
    <col min="9733" max="9733" width="14.140625" style="1" customWidth="1"/>
    <col min="9734" max="9734" width="18.28515625" style="1" customWidth="1"/>
    <col min="9735" max="9736" width="17.42578125" style="1" customWidth="1"/>
    <col min="9737" max="9737" width="19.140625" style="1" customWidth="1"/>
    <col min="9738" max="9986" width="9.140625" style="1"/>
    <col min="9987" max="9987" width="5.85546875" style="1" customWidth="1"/>
    <col min="9988" max="9988" width="30.28515625" style="1" customWidth="1"/>
    <col min="9989" max="9989" width="14.140625" style="1" customWidth="1"/>
    <col min="9990" max="9990" width="18.28515625" style="1" customWidth="1"/>
    <col min="9991" max="9992" width="17.42578125" style="1" customWidth="1"/>
    <col min="9993" max="9993" width="19.140625" style="1" customWidth="1"/>
    <col min="9994" max="10242" width="9.140625" style="1"/>
    <col min="10243" max="10243" width="5.85546875" style="1" customWidth="1"/>
    <col min="10244" max="10244" width="30.28515625" style="1" customWidth="1"/>
    <col min="10245" max="10245" width="14.140625" style="1" customWidth="1"/>
    <col min="10246" max="10246" width="18.28515625" style="1" customWidth="1"/>
    <col min="10247" max="10248" width="17.42578125" style="1" customWidth="1"/>
    <col min="10249" max="10249" width="19.140625" style="1" customWidth="1"/>
    <col min="10250" max="10498" width="9.140625" style="1"/>
    <col min="10499" max="10499" width="5.85546875" style="1" customWidth="1"/>
    <col min="10500" max="10500" width="30.28515625" style="1" customWidth="1"/>
    <col min="10501" max="10501" width="14.140625" style="1" customWidth="1"/>
    <col min="10502" max="10502" width="18.28515625" style="1" customWidth="1"/>
    <col min="10503" max="10504" width="17.42578125" style="1" customWidth="1"/>
    <col min="10505" max="10505" width="19.140625" style="1" customWidth="1"/>
    <col min="10506" max="10754" width="9.140625" style="1"/>
    <col min="10755" max="10755" width="5.85546875" style="1" customWidth="1"/>
    <col min="10756" max="10756" width="30.28515625" style="1" customWidth="1"/>
    <col min="10757" max="10757" width="14.140625" style="1" customWidth="1"/>
    <col min="10758" max="10758" width="18.28515625" style="1" customWidth="1"/>
    <col min="10759" max="10760" width="17.42578125" style="1" customWidth="1"/>
    <col min="10761" max="10761" width="19.140625" style="1" customWidth="1"/>
    <col min="10762" max="11010" width="9.140625" style="1"/>
    <col min="11011" max="11011" width="5.85546875" style="1" customWidth="1"/>
    <col min="11012" max="11012" width="30.28515625" style="1" customWidth="1"/>
    <col min="11013" max="11013" width="14.140625" style="1" customWidth="1"/>
    <col min="11014" max="11014" width="18.28515625" style="1" customWidth="1"/>
    <col min="11015" max="11016" width="17.42578125" style="1" customWidth="1"/>
    <col min="11017" max="11017" width="19.140625" style="1" customWidth="1"/>
    <col min="11018" max="11266" width="9.140625" style="1"/>
    <col min="11267" max="11267" width="5.85546875" style="1" customWidth="1"/>
    <col min="11268" max="11268" width="30.28515625" style="1" customWidth="1"/>
    <col min="11269" max="11269" width="14.140625" style="1" customWidth="1"/>
    <col min="11270" max="11270" width="18.28515625" style="1" customWidth="1"/>
    <col min="11271" max="11272" width="17.42578125" style="1" customWidth="1"/>
    <col min="11273" max="11273" width="19.140625" style="1" customWidth="1"/>
    <col min="11274" max="11522" width="9.140625" style="1"/>
    <col min="11523" max="11523" width="5.85546875" style="1" customWidth="1"/>
    <col min="11524" max="11524" width="30.28515625" style="1" customWidth="1"/>
    <col min="11525" max="11525" width="14.140625" style="1" customWidth="1"/>
    <col min="11526" max="11526" width="18.28515625" style="1" customWidth="1"/>
    <col min="11527" max="11528" width="17.42578125" style="1" customWidth="1"/>
    <col min="11529" max="11529" width="19.140625" style="1" customWidth="1"/>
    <col min="11530" max="11778" width="9.140625" style="1"/>
    <col min="11779" max="11779" width="5.85546875" style="1" customWidth="1"/>
    <col min="11780" max="11780" width="30.28515625" style="1" customWidth="1"/>
    <col min="11781" max="11781" width="14.140625" style="1" customWidth="1"/>
    <col min="11782" max="11782" width="18.28515625" style="1" customWidth="1"/>
    <col min="11783" max="11784" width="17.42578125" style="1" customWidth="1"/>
    <col min="11785" max="11785" width="19.140625" style="1" customWidth="1"/>
    <col min="11786" max="12034" width="9.140625" style="1"/>
    <col min="12035" max="12035" width="5.85546875" style="1" customWidth="1"/>
    <col min="12036" max="12036" width="30.28515625" style="1" customWidth="1"/>
    <col min="12037" max="12037" width="14.140625" style="1" customWidth="1"/>
    <col min="12038" max="12038" width="18.28515625" style="1" customWidth="1"/>
    <col min="12039" max="12040" width="17.42578125" style="1" customWidth="1"/>
    <col min="12041" max="12041" width="19.140625" style="1" customWidth="1"/>
    <col min="12042" max="12290" width="9.140625" style="1"/>
    <col min="12291" max="12291" width="5.85546875" style="1" customWidth="1"/>
    <col min="12292" max="12292" width="30.28515625" style="1" customWidth="1"/>
    <col min="12293" max="12293" width="14.140625" style="1" customWidth="1"/>
    <col min="12294" max="12294" width="18.28515625" style="1" customWidth="1"/>
    <col min="12295" max="12296" width="17.42578125" style="1" customWidth="1"/>
    <col min="12297" max="12297" width="19.140625" style="1" customWidth="1"/>
    <col min="12298" max="12546" width="9.140625" style="1"/>
    <col min="12547" max="12547" width="5.85546875" style="1" customWidth="1"/>
    <col min="12548" max="12548" width="30.28515625" style="1" customWidth="1"/>
    <col min="12549" max="12549" width="14.140625" style="1" customWidth="1"/>
    <col min="12550" max="12550" width="18.28515625" style="1" customWidth="1"/>
    <col min="12551" max="12552" width="17.42578125" style="1" customWidth="1"/>
    <col min="12553" max="12553" width="19.140625" style="1" customWidth="1"/>
    <col min="12554" max="12802" width="9.140625" style="1"/>
    <col min="12803" max="12803" width="5.85546875" style="1" customWidth="1"/>
    <col min="12804" max="12804" width="30.28515625" style="1" customWidth="1"/>
    <col min="12805" max="12805" width="14.140625" style="1" customWidth="1"/>
    <col min="12806" max="12806" width="18.28515625" style="1" customWidth="1"/>
    <col min="12807" max="12808" width="17.42578125" style="1" customWidth="1"/>
    <col min="12809" max="12809" width="19.140625" style="1" customWidth="1"/>
    <col min="12810" max="13058" width="9.140625" style="1"/>
    <col min="13059" max="13059" width="5.85546875" style="1" customWidth="1"/>
    <col min="13060" max="13060" width="30.28515625" style="1" customWidth="1"/>
    <col min="13061" max="13061" width="14.140625" style="1" customWidth="1"/>
    <col min="13062" max="13062" width="18.28515625" style="1" customWidth="1"/>
    <col min="13063" max="13064" width="17.42578125" style="1" customWidth="1"/>
    <col min="13065" max="13065" width="19.140625" style="1" customWidth="1"/>
    <col min="13066" max="13314" width="9.140625" style="1"/>
    <col min="13315" max="13315" width="5.85546875" style="1" customWidth="1"/>
    <col min="13316" max="13316" width="30.28515625" style="1" customWidth="1"/>
    <col min="13317" max="13317" width="14.140625" style="1" customWidth="1"/>
    <col min="13318" max="13318" width="18.28515625" style="1" customWidth="1"/>
    <col min="13319" max="13320" width="17.42578125" style="1" customWidth="1"/>
    <col min="13321" max="13321" width="19.140625" style="1" customWidth="1"/>
    <col min="13322" max="13570" width="9.140625" style="1"/>
    <col min="13571" max="13571" width="5.85546875" style="1" customWidth="1"/>
    <col min="13572" max="13572" width="30.28515625" style="1" customWidth="1"/>
    <col min="13573" max="13573" width="14.140625" style="1" customWidth="1"/>
    <col min="13574" max="13574" width="18.28515625" style="1" customWidth="1"/>
    <col min="13575" max="13576" width="17.42578125" style="1" customWidth="1"/>
    <col min="13577" max="13577" width="19.140625" style="1" customWidth="1"/>
    <col min="13578" max="13826" width="9.140625" style="1"/>
    <col min="13827" max="13827" width="5.85546875" style="1" customWidth="1"/>
    <col min="13828" max="13828" width="30.28515625" style="1" customWidth="1"/>
    <col min="13829" max="13829" width="14.140625" style="1" customWidth="1"/>
    <col min="13830" max="13830" width="18.28515625" style="1" customWidth="1"/>
    <col min="13831" max="13832" width="17.42578125" style="1" customWidth="1"/>
    <col min="13833" max="13833" width="19.140625" style="1" customWidth="1"/>
    <col min="13834" max="14082" width="9.140625" style="1"/>
    <col min="14083" max="14083" width="5.85546875" style="1" customWidth="1"/>
    <col min="14084" max="14084" width="30.28515625" style="1" customWidth="1"/>
    <col min="14085" max="14085" width="14.140625" style="1" customWidth="1"/>
    <col min="14086" max="14086" width="18.28515625" style="1" customWidth="1"/>
    <col min="14087" max="14088" width="17.42578125" style="1" customWidth="1"/>
    <col min="14089" max="14089" width="19.140625" style="1" customWidth="1"/>
    <col min="14090" max="14338" width="9.140625" style="1"/>
    <col min="14339" max="14339" width="5.85546875" style="1" customWidth="1"/>
    <col min="14340" max="14340" width="30.28515625" style="1" customWidth="1"/>
    <col min="14341" max="14341" width="14.140625" style="1" customWidth="1"/>
    <col min="14342" max="14342" width="18.28515625" style="1" customWidth="1"/>
    <col min="14343" max="14344" width="17.42578125" style="1" customWidth="1"/>
    <col min="14345" max="14345" width="19.140625" style="1" customWidth="1"/>
    <col min="14346" max="14594" width="9.140625" style="1"/>
    <col min="14595" max="14595" width="5.85546875" style="1" customWidth="1"/>
    <col min="14596" max="14596" width="30.28515625" style="1" customWidth="1"/>
    <col min="14597" max="14597" width="14.140625" style="1" customWidth="1"/>
    <col min="14598" max="14598" width="18.28515625" style="1" customWidth="1"/>
    <col min="14599" max="14600" width="17.42578125" style="1" customWidth="1"/>
    <col min="14601" max="14601" width="19.140625" style="1" customWidth="1"/>
    <col min="14602" max="14850" width="9.140625" style="1"/>
    <col min="14851" max="14851" width="5.85546875" style="1" customWidth="1"/>
    <col min="14852" max="14852" width="30.28515625" style="1" customWidth="1"/>
    <col min="14853" max="14853" width="14.140625" style="1" customWidth="1"/>
    <col min="14854" max="14854" width="18.28515625" style="1" customWidth="1"/>
    <col min="14855" max="14856" width="17.42578125" style="1" customWidth="1"/>
    <col min="14857" max="14857" width="19.140625" style="1" customWidth="1"/>
    <col min="14858" max="15106" width="9.140625" style="1"/>
    <col min="15107" max="15107" width="5.85546875" style="1" customWidth="1"/>
    <col min="15108" max="15108" width="30.28515625" style="1" customWidth="1"/>
    <col min="15109" max="15109" width="14.140625" style="1" customWidth="1"/>
    <col min="15110" max="15110" width="18.28515625" style="1" customWidth="1"/>
    <col min="15111" max="15112" width="17.42578125" style="1" customWidth="1"/>
    <col min="15113" max="15113" width="19.140625" style="1" customWidth="1"/>
    <col min="15114" max="15362" width="9.140625" style="1"/>
    <col min="15363" max="15363" width="5.85546875" style="1" customWidth="1"/>
    <col min="15364" max="15364" width="30.28515625" style="1" customWidth="1"/>
    <col min="15365" max="15365" width="14.140625" style="1" customWidth="1"/>
    <col min="15366" max="15366" width="18.28515625" style="1" customWidth="1"/>
    <col min="15367" max="15368" width="17.42578125" style="1" customWidth="1"/>
    <col min="15369" max="15369" width="19.140625" style="1" customWidth="1"/>
    <col min="15370" max="15618" width="9.140625" style="1"/>
    <col min="15619" max="15619" width="5.85546875" style="1" customWidth="1"/>
    <col min="15620" max="15620" width="30.28515625" style="1" customWidth="1"/>
    <col min="15621" max="15621" width="14.140625" style="1" customWidth="1"/>
    <col min="15622" max="15622" width="18.28515625" style="1" customWidth="1"/>
    <col min="15623" max="15624" width="17.42578125" style="1" customWidth="1"/>
    <col min="15625" max="15625" width="19.140625" style="1" customWidth="1"/>
    <col min="15626" max="15874" width="9.140625" style="1"/>
    <col min="15875" max="15875" width="5.85546875" style="1" customWidth="1"/>
    <col min="15876" max="15876" width="30.28515625" style="1" customWidth="1"/>
    <col min="15877" max="15877" width="14.140625" style="1" customWidth="1"/>
    <col min="15878" max="15878" width="18.28515625" style="1" customWidth="1"/>
    <col min="15879" max="15880" width="17.42578125" style="1" customWidth="1"/>
    <col min="15881" max="15881" width="19.140625" style="1" customWidth="1"/>
    <col min="15882" max="16130" width="9.140625" style="1"/>
    <col min="16131" max="16131" width="5.85546875" style="1" customWidth="1"/>
    <col min="16132" max="16132" width="30.28515625" style="1" customWidth="1"/>
    <col min="16133" max="16133" width="14.140625" style="1" customWidth="1"/>
    <col min="16134" max="16134" width="18.28515625" style="1" customWidth="1"/>
    <col min="16135" max="16136" width="17.42578125" style="1" customWidth="1"/>
    <col min="16137" max="16137" width="19.140625" style="1" customWidth="1"/>
    <col min="16138" max="16384" width="9.140625" style="1"/>
  </cols>
  <sheetData>
    <row r="1" spans="1:9" x14ac:dyDescent="0.25">
      <c r="A1" s="581"/>
      <c r="B1" s="581"/>
      <c r="C1" s="581"/>
      <c r="D1" s="581"/>
      <c r="E1" s="581"/>
      <c r="F1" s="581"/>
      <c r="G1" s="581"/>
      <c r="H1" s="581"/>
      <c r="I1" s="364"/>
    </row>
    <row r="2" spans="1:9" x14ac:dyDescent="0.25">
      <c r="A2" s="517" t="s">
        <v>414</v>
      </c>
      <c r="B2" s="517"/>
      <c r="C2" s="517"/>
      <c r="D2" s="517"/>
      <c r="E2" s="517"/>
      <c r="F2" s="517"/>
      <c r="G2" s="517"/>
      <c r="H2" s="517"/>
      <c r="I2" s="287"/>
    </row>
    <row r="3" spans="1:9" x14ac:dyDescent="0.25">
      <c r="A3" s="582" t="s">
        <v>415</v>
      </c>
      <c r="B3" s="582"/>
      <c r="C3" s="582"/>
      <c r="D3" s="582"/>
      <c r="E3" s="582"/>
      <c r="F3" s="582"/>
      <c r="G3" s="582"/>
      <c r="H3" s="582"/>
      <c r="I3" s="365"/>
    </row>
    <row r="4" spans="1:9" ht="39" customHeight="1" x14ac:dyDescent="0.25">
      <c r="A4" s="583" t="s">
        <v>416</v>
      </c>
      <c r="B4" s="584"/>
      <c r="C4" s="584"/>
      <c r="D4" s="584"/>
      <c r="E4" s="584"/>
      <c r="F4" s="584"/>
      <c r="G4" s="584"/>
      <c r="H4" s="584"/>
      <c r="I4" s="366"/>
    </row>
    <row r="5" spans="1:9" ht="12" customHeight="1" x14ac:dyDescent="0.25">
      <c r="A5" s="405" t="s">
        <v>15</v>
      </c>
      <c r="B5" s="405"/>
      <c r="C5" s="405"/>
      <c r="D5" s="405"/>
      <c r="E5" s="405"/>
      <c r="F5" s="405"/>
      <c r="G5" s="405"/>
      <c r="H5" s="405"/>
      <c r="I5" s="281"/>
    </row>
    <row r="6" spans="1:9" ht="18.75" x14ac:dyDescent="0.25">
      <c r="A6" s="398" t="s">
        <v>417</v>
      </c>
      <c r="B6" s="399"/>
      <c r="C6" s="399"/>
      <c r="D6" s="399"/>
      <c r="E6" s="399"/>
      <c r="F6" s="399"/>
      <c r="G6" s="399"/>
      <c r="H6" s="399"/>
      <c r="I6" s="280"/>
    </row>
    <row r="7" spans="1:9" ht="15.75" thickBot="1" x14ac:dyDescent="0.3">
      <c r="A7" s="406" t="s">
        <v>418</v>
      </c>
      <c r="B7" s="406"/>
      <c r="C7" s="406"/>
      <c r="D7" s="406"/>
      <c r="E7" s="406"/>
      <c r="F7" s="406"/>
      <c r="G7" s="406"/>
      <c r="H7" s="406"/>
      <c r="I7" s="282"/>
    </row>
    <row r="8" spans="1:9" ht="46.5" customHeight="1" x14ac:dyDescent="0.25">
      <c r="A8" s="407" t="s">
        <v>17</v>
      </c>
      <c r="B8" s="410" t="s">
        <v>419</v>
      </c>
      <c r="C8" s="410" t="s">
        <v>420</v>
      </c>
      <c r="D8" s="414" t="s">
        <v>421</v>
      </c>
      <c r="E8" s="415"/>
      <c r="F8" s="410" t="s">
        <v>422</v>
      </c>
      <c r="G8" s="410" t="s">
        <v>434</v>
      </c>
      <c r="H8" s="416" t="s">
        <v>423</v>
      </c>
      <c r="I8" s="367"/>
    </row>
    <row r="9" spans="1:9" ht="16.5" customHeight="1" x14ac:dyDescent="0.25">
      <c r="A9" s="408"/>
      <c r="B9" s="411"/>
      <c r="C9" s="411"/>
      <c r="D9" s="578" t="s">
        <v>424</v>
      </c>
      <c r="E9" s="579"/>
      <c r="F9" s="411"/>
      <c r="G9" s="554"/>
      <c r="H9" s="417"/>
      <c r="I9" s="368"/>
    </row>
    <row r="10" spans="1:9" ht="35.25" customHeight="1" thickBot="1" x14ac:dyDescent="0.3">
      <c r="A10" s="409"/>
      <c r="B10" s="412"/>
      <c r="C10" s="412"/>
      <c r="D10" s="7" t="s">
        <v>425</v>
      </c>
      <c r="E10" s="7" t="s">
        <v>426</v>
      </c>
      <c r="F10" s="412"/>
      <c r="G10" s="555"/>
      <c r="H10" s="418"/>
      <c r="I10" s="368"/>
    </row>
    <row r="11" spans="1:9" ht="10.5" customHeight="1" thickBot="1" x14ac:dyDescent="0.3">
      <c r="A11" s="290">
        <v>1</v>
      </c>
      <c r="B11" s="291">
        <v>2</v>
      </c>
      <c r="C11" s="291">
        <v>3</v>
      </c>
      <c r="D11" s="292">
        <v>4</v>
      </c>
      <c r="E11" s="292">
        <v>5</v>
      </c>
      <c r="F11" s="293">
        <v>6</v>
      </c>
      <c r="G11" s="293">
        <v>7</v>
      </c>
      <c r="H11" s="294">
        <v>8</v>
      </c>
      <c r="I11" s="368"/>
    </row>
    <row r="12" spans="1:9" ht="42" customHeight="1" thickBot="1" x14ac:dyDescent="0.3">
      <c r="A12" s="559" t="s">
        <v>427</v>
      </c>
      <c r="B12" s="560"/>
      <c r="C12" s="560"/>
      <c r="D12" s="560"/>
      <c r="E12" s="560"/>
      <c r="F12" s="560"/>
      <c r="G12" s="560"/>
      <c r="H12" s="561"/>
      <c r="I12" s="369"/>
    </row>
    <row r="13" spans="1:9" ht="29.25" customHeight="1" thickBot="1" x14ac:dyDescent="0.3">
      <c r="A13" s="559" t="s">
        <v>428</v>
      </c>
      <c r="B13" s="560"/>
      <c r="C13" s="560"/>
      <c r="D13" s="560"/>
      <c r="E13" s="560"/>
      <c r="F13" s="560"/>
      <c r="G13" s="560"/>
      <c r="H13" s="561"/>
      <c r="I13" s="369"/>
    </row>
    <row r="14" spans="1:9" ht="89.25" customHeight="1" x14ac:dyDescent="0.25">
      <c r="A14" s="295" t="s">
        <v>28</v>
      </c>
      <c r="B14" s="296" t="s">
        <v>29</v>
      </c>
      <c r="C14" s="37" t="s">
        <v>30</v>
      </c>
      <c r="D14" s="279">
        <v>106.1</v>
      </c>
      <c r="E14" s="297">
        <v>113</v>
      </c>
      <c r="F14" s="298">
        <f t="shared" ref="F14:F19" si="0">E14-D14</f>
        <v>6.9000000000000057</v>
      </c>
      <c r="G14" s="379" t="s">
        <v>439</v>
      </c>
      <c r="H14" s="299">
        <f>E14/D14*100</f>
        <v>106.50329877474081</v>
      </c>
      <c r="I14" s="370"/>
    </row>
    <row r="15" spans="1:9" ht="78.75" x14ac:dyDescent="0.25">
      <c r="A15" s="300" t="s">
        <v>32</v>
      </c>
      <c r="B15" s="301" t="s">
        <v>33</v>
      </c>
      <c r="C15" s="22" t="s">
        <v>30</v>
      </c>
      <c r="D15" s="27">
        <v>104.5</v>
      </c>
      <c r="E15" s="132">
        <v>119.7</v>
      </c>
      <c r="F15" s="69">
        <f t="shared" si="0"/>
        <v>15.200000000000003</v>
      </c>
      <c r="G15" s="379" t="s">
        <v>439</v>
      </c>
      <c r="H15" s="302">
        <f t="shared" ref="H15:H22" si="1">E15/D15*100</f>
        <v>114.54545454545455</v>
      </c>
      <c r="I15" s="370"/>
    </row>
    <row r="16" spans="1:9" ht="84.75" customHeight="1" x14ac:dyDescent="0.25">
      <c r="A16" s="300" t="s">
        <v>34</v>
      </c>
      <c r="B16" s="301" t="s">
        <v>35</v>
      </c>
      <c r="C16" s="22" t="s">
        <v>30</v>
      </c>
      <c r="D16" s="27">
        <v>109.1</v>
      </c>
      <c r="E16" s="132">
        <v>101.7</v>
      </c>
      <c r="F16" s="69">
        <f t="shared" si="0"/>
        <v>-7.3999999999999915</v>
      </c>
      <c r="G16" s="379" t="s">
        <v>439</v>
      </c>
      <c r="H16" s="302">
        <f t="shared" si="1"/>
        <v>93.217231897341904</v>
      </c>
      <c r="I16" s="370"/>
    </row>
    <row r="17" spans="1:11" ht="82.5" customHeight="1" x14ac:dyDescent="0.25">
      <c r="A17" s="303" t="s">
        <v>37</v>
      </c>
      <c r="B17" s="304" t="s">
        <v>38</v>
      </c>
      <c r="C17" s="27" t="s">
        <v>30</v>
      </c>
      <c r="D17" s="27">
        <v>106.3</v>
      </c>
      <c r="E17" s="132">
        <v>100.4</v>
      </c>
      <c r="F17" s="69">
        <f t="shared" si="0"/>
        <v>-5.8999999999999915</v>
      </c>
      <c r="G17" s="379" t="s">
        <v>439</v>
      </c>
      <c r="H17" s="302">
        <f t="shared" si="1"/>
        <v>94.449670743179695</v>
      </c>
      <c r="I17" s="370"/>
    </row>
    <row r="18" spans="1:11" ht="79.5" customHeight="1" x14ac:dyDescent="0.25">
      <c r="A18" s="300" t="s">
        <v>39</v>
      </c>
      <c r="B18" s="301" t="s">
        <v>40</v>
      </c>
      <c r="C18" s="22" t="s">
        <v>41</v>
      </c>
      <c r="D18" s="27">
        <v>12</v>
      </c>
      <c r="E18" s="132">
        <v>12.2</v>
      </c>
      <c r="F18" s="69">
        <f t="shared" si="0"/>
        <v>0.19999999999999929</v>
      </c>
      <c r="G18" s="379" t="s">
        <v>439</v>
      </c>
      <c r="H18" s="302">
        <f t="shared" si="1"/>
        <v>101.66666666666666</v>
      </c>
      <c r="I18" s="370"/>
    </row>
    <row r="19" spans="1:11" ht="87" customHeight="1" x14ac:dyDescent="0.25">
      <c r="A19" s="300" t="s">
        <v>43</v>
      </c>
      <c r="B19" s="301" t="s">
        <v>44</v>
      </c>
      <c r="C19" s="22" t="s">
        <v>41</v>
      </c>
      <c r="D19" s="27">
        <v>75</v>
      </c>
      <c r="E19" s="132">
        <v>76.900000000000006</v>
      </c>
      <c r="F19" s="69">
        <f t="shared" si="0"/>
        <v>1.9000000000000057</v>
      </c>
      <c r="G19" s="379" t="s">
        <v>439</v>
      </c>
      <c r="H19" s="302">
        <f t="shared" si="1"/>
        <v>102.53333333333335</v>
      </c>
      <c r="I19" s="370"/>
    </row>
    <row r="20" spans="1:11" ht="88.5" customHeight="1" x14ac:dyDescent="0.25">
      <c r="A20" s="300" t="s">
        <v>45</v>
      </c>
      <c r="B20" s="301" t="s">
        <v>46</v>
      </c>
      <c r="C20" s="22" t="s">
        <v>47</v>
      </c>
      <c r="D20" s="27">
        <v>15620</v>
      </c>
      <c r="E20" s="132">
        <v>16689.900000000001</v>
      </c>
      <c r="F20" s="305">
        <f>E20/D20*100</f>
        <v>106.84955185659413</v>
      </c>
      <c r="G20" s="379" t="s">
        <v>439</v>
      </c>
      <c r="H20" s="302">
        <f t="shared" si="1"/>
        <v>106.84955185659413</v>
      </c>
      <c r="I20" s="370"/>
    </row>
    <row r="21" spans="1:11" ht="89.25" customHeight="1" x14ac:dyDescent="0.25">
      <c r="A21" s="300" t="s">
        <v>48</v>
      </c>
      <c r="B21" s="301" t="s">
        <v>49</v>
      </c>
      <c r="C21" s="22" t="s">
        <v>50</v>
      </c>
      <c r="D21" s="27">
        <v>260</v>
      </c>
      <c r="E21" s="132">
        <v>260</v>
      </c>
      <c r="F21" s="305">
        <f>E21/D21*100</f>
        <v>100</v>
      </c>
      <c r="G21" s="379" t="s">
        <v>439</v>
      </c>
      <c r="H21" s="302">
        <f t="shared" si="1"/>
        <v>100</v>
      </c>
      <c r="I21" s="370"/>
    </row>
    <row r="22" spans="1:11" ht="83.25" customHeight="1" thickBot="1" x14ac:dyDescent="0.3">
      <c r="A22" s="306" t="s">
        <v>51</v>
      </c>
      <c r="B22" s="307" t="s">
        <v>52</v>
      </c>
      <c r="C22" s="50" t="s">
        <v>50</v>
      </c>
      <c r="D22" s="277">
        <v>2</v>
      </c>
      <c r="E22" s="308">
        <v>2</v>
      </c>
      <c r="F22" s="305">
        <f>E22/D22*100</f>
        <v>100</v>
      </c>
      <c r="G22" s="379" t="s">
        <v>439</v>
      </c>
      <c r="H22" s="302">
        <f t="shared" si="1"/>
        <v>100</v>
      </c>
      <c r="I22" s="370"/>
    </row>
    <row r="23" spans="1:11" ht="87" customHeight="1" thickBot="1" x14ac:dyDescent="0.3">
      <c r="A23" s="559" t="s">
        <v>429</v>
      </c>
      <c r="B23" s="576"/>
      <c r="C23" s="551"/>
      <c r="D23" s="560"/>
      <c r="E23" s="560"/>
      <c r="F23" s="580"/>
      <c r="G23" s="288" t="s">
        <v>435</v>
      </c>
      <c r="H23" s="309">
        <f>AVERAGE(H14:H22)</f>
        <v>102.19613420192344</v>
      </c>
      <c r="I23" s="371"/>
    </row>
    <row r="24" spans="1:11" ht="36.75" customHeight="1" thickBot="1" x14ac:dyDescent="0.3">
      <c r="A24" s="556" t="s">
        <v>57</v>
      </c>
      <c r="B24" s="557"/>
      <c r="C24" s="557"/>
      <c r="D24" s="557"/>
      <c r="E24" s="557"/>
      <c r="F24" s="557"/>
      <c r="G24" s="557"/>
      <c r="H24" s="558"/>
      <c r="I24" s="369"/>
    </row>
    <row r="25" spans="1:11" ht="78.75" x14ac:dyDescent="0.25">
      <c r="A25" s="310" t="s">
        <v>28</v>
      </c>
      <c r="B25" s="311" t="s">
        <v>430</v>
      </c>
      <c r="C25" s="45" t="s">
        <v>59</v>
      </c>
      <c r="D25" s="45">
        <v>350</v>
      </c>
      <c r="E25" s="286">
        <v>410</v>
      </c>
      <c r="F25" s="312">
        <f>E25/D25*100</f>
        <v>117.14285714285715</v>
      </c>
      <c r="G25" s="379" t="s">
        <v>439</v>
      </c>
      <c r="H25" s="313">
        <f>E25/D25*100</f>
        <v>117.14285714285715</v>
      </c>
      <c r="I25" s="372"/>
    </row>
    <row r="26" spans="1:11" ht="78.75" x14ac:dyDescent="0.25">
      <c r="A26" s="314" t="s">
        <v>32</v>
      </c>
      <c r="B26" s="315" t="s">
        <v>60</v>
      </c>
      <c r="C26" s="22" t="s">
        <v>59</v>
      </c>
      <c r="D26" s="27">
        <v>1</v>
      </c>
      <c r="E26" s="132">
        <v>0</v>
      </c>
      <c r="F26" s="312">
        <f>E26/D26*100</f>
        <v>0</v>
      </c>
      <c r="G26" s="379" t="s">
        <v>439</v>
      </c>
      <c r="H26" s="313">
        <f>E26/D26*100</f>
        <v>0</v>
      </c>
      <c r="I26" s="372"/>
      <c r="K26" s="49"/>
    </row>
    <row r="27" spans="1:11" ht="79.5" thickBot="1" x14ac:dyDescent="0.3">
      <c r="A27" s="316" t="s">
        <v>34</v>
      </c>
      <c r="B27" s="317" t="s">
        <v>63</v>
      </c>
      <c r="C27" s="50" t="s">
        <v>50</v>
      </c>
      <c r="D27" s="278">
        <v>155</v>
      </c>
      <c r="E27" s="136">
        <v>0</v>
      </c>
      <c r="F27" s="312">
        <f>E27/D27*100</f>
        <v>0</v>
      </c>
      <c r="G27" s="379" t="s">
        <v>439</v>
      </c>
      <c r="H27" s="313">
        <f>E27/D27*100</f>
        <v>0</v>
      </c>
      <c r="I27" s="372"/>
    </row>
    <row r="28" spans="1:11" ht="98.25" customHeight="1" thickBot="1" x14ac:dyDescent="0.3">
      <c r="A28" s="559" t="s">
        <v>431</v>
      </c>
      <c r="B28" s="576"/>
      <c r="C28" s="551"/>
      <c r="D28" s="560"/>
      <c r="E28" s="560"/>
      <c r="F28" s="577"/>
      <c r="G28" s="288" t="s">
        <v>435</v>
      </c>
      <c r="H28" s="318">
        <f>AVERAGE(H25:H27)</f>
        <v>39.047619047619051</v>
      </c>
      <c r="I28" s="373"/>
    </row>
    <row r="29" spans="1:11" ht="32.25" customHeight="1" thickBot="1" x14ac:dyDescent="0.3">
      <c r="A29" s="565" t="s">
        <v>64</v>
      </c>
      <c r="B29" s="566"/>
      <c r="C29" s="566"/>
      <c r="D29" s="566"/>
      <c r="E29" s="566"/>
      <c r="F29" s="566"/>
      <c r="G29" s="566"/>
      <c r="H29" s="567"/>
      <c r="I29" s="369"/>
    </row>
    <row r="30" spans="1:11" ht="78.75" x14ac:dyDescent="0.25">
      <c r="A30" s="319" t="s">
        <v>37</v>
      </c>
      <c r="B30" s="320" t="s">
        <v>65</v>
      </c>
      <c r="C30" s="15" t="s">
        <v>66</v>
      </c>
      <c r="D30" s="279">
        <v>10.4</v>
      </c>
      <c r="E30" s="321">
        <v>7.27</v>
      </c>
      <c r="F30" s="297">
        <f>E30/D30*100</f>
        <v>69.903846153846146</v>
      </c>
      <c r="G30" s="379" t="s">
        <v>439</v>
      </c>
      <c r="H30" s="322">
        <f>E30/D30*100</f>
        <v>69.903846153846146</v>
      </c>
      <c r="I30" s="370"/>
    </row>
    <row r="31" spans="1:11" ht="79.5" thickBot="1" x14ac:dyDescent="0.3">
      <c r="A31" s="323" t="s">
        <v>39</v>
      </c>
      <c r="B31" s="324" t="s">
        <v>67</v>
      </c>
      <c r="C31" s="33" t="s">
        <v>41</v>
      </c>
      <c r="D31" s="277">
        <v>20</v>
      </c>
      <c r="E31" s="308">
        <v>32.5</v>
      </c>
      <c r="F31" s="325">
        <f>E31-D31</f>
        <v>12.5</v>
      </c>
      <c r="G31" s="379" t="s">
        <v>439</v>
      </c>
      <c r="H31" s="326">
        <f>E31/D31*100</f>
        <v>162.5</v>
      </c>
      <c r="I31" s="370"/>
    </row>
    <row r="32" spans="1:11" ht="92.25" customHeight="1" thickBot="1" x14ac:dyDescent="0.3">
      <c r="A32" s="556" t="s">
        <v>431</v>
      </c>
      <c r="B32" s="571"/>
      <c r="C32" s="572"/>
      <c r="D32" s="440"/>
      <c r="E32" s="440"/>
      <c r="F32" s="573"/>
      <c r="G32" s="289" t="s">
        <v>435</v>
      </c>
      <c r="H32" s="327">
        <f>AVERAGE(H30:H31)</f>
        <v>116.20192307692307</v>
      </c>
      <c r="I32" s="374"/>
    </row>
    <row r="33" spans="1:9" ht="31.5" customHeight="1" thickBot="1" x14ac:dyDescent="0.3">
      <c r="A33" s="556" t="s">
        <v>68</v>
      </c>
      <c r="B33" s="557"/>
      <c r="C33" s="557"/>
      <c r="D33" s="557"/>
      <c r="E33" s="557"/>
      <c r="F33" s="557"/>
      <c r="G33" s="557"/>
      <c r="H33" s="558"/>
      <c r="I33" s="369"/>
    </row>
    <row r="34" spans="1:9" ht="79.5" thickBot="1" x14ac:dyDescent="0.3">
      <c r="A34" s="328" t="s">
        <v>43</v>
      </c>
      <c r="B34" s="329" t="s">
        <v>69</v>
      </c>
      <c r="C34" s="291" t="s">
        <v>41</v>
      </c>
      <c r="D34" s="283">
        <v>55.7</v>
      </c>
      <c r="E34" s="284">
        <v>60.9</v>
      </c>
      <c r="F34" s="330">
        <f>E34-D34</f>
        <v>5.1999999999999957</v>
      </c>
      <c r="G34" s="379" t="s">
        <v>439</v>
      </c>
      <c r="H34" s="331">
        <f>E34/D34*100</f>
        <v>109.33572710951525</v>
      </c>
      <c r="I34" s="370"/>
    </row>
    <row r="35" spans="1:9" ht="97.5" customHeight="1" thickBot="1" x14ac:dyDescent="0.3">
      <c r="A35" s="549" t="s">
        <v>431</v>
      </c>
      <c r="B35" s="550"/>
      <c r="C35" s="574"/>
      <c r="D35" s="575"/>
      <c r="E35" s="575"/>
      <c r="F35" s="575"/>
      <c r="G35" s="289" t="s">
        <v>435</v>
      </c>
      <c r="H35" s="332">
        <f>AVERAGE(H34)</f>
        <v>109.33572710951525</v>
      </c>
      <c r="I35" s="374"/>
    </row>
    <row r="36" spans="1:9" ht="33" customHeight="1" thickBot="1" x14ac:dyDescent="0.3">
      <c r="A36" s="559" t="s">
        <v>71</v>
      </c>
      <c r="B36" s="560"/>
      <c r="C36" s="560"/>
      <c r="D36" s="560"/>
      <c r="E36" s="560"/>
      <c r="F36" s="560"/>
      <c r="G36" s="560"/>
      <c r="H36" s="561"/>
      <c r="I36" s="369"/>
    </row>
    <row r="37" spans="1:9" ht="102.75" customHeight="1" x14ac:dyDescent="0.25">
      <c r="A37" s="333" t="s">
        <v>45</v>
      </c>
      <c r="B37" s="334" t="s">
        <v>72</v>
      </c>
      <c r="C37" s="15" t="s">
        <v>73</v>
      </c>
      <c r="D37" s="321">
        <v>0.2</v>
      </c>
      <c r="E37" s="321">
        <v>0</v>
      </c>
      <c r="F37" s="298">
        <f>E37/D37*100</f>
        <v>0</v>
      </c>
      <c r="G37" s="379" t="s">
        <v>440</v>
      </c>
      <c r="H37" s="90">
        <f>E37/D37*100</f>
        <v>0</v>
      </c>
      <c r="I37" s="369"/>
    </row>
    <row r="38" spans="1:9" ht="78.75" x14ac:dyDescent="0.25">
      <c r="A38" s="335" t="s">
        <v>48</v>
      </c>
      <c r="B38" s="336" t="s">
        <v>74</v>
      </c>
      <c r="C38" s="22" t="s">
        <v>73</v>
      </c>
      <c r="D38" s="132" t="s">
        <v>61</v>
      </c>
      <c r="E38" s="132" t="s">
        <v>61</v>
      </c>
      <c r="F38" s="69" t="s">
        <v>61</v>
      </c>
      <c r="G38" s="379" t="s">
        <v>440</v>
      </c>
      <c r="H38" s="91" t="s">
        <v>61</v>
      </c>
      <c r="I38" s="369"/>
    </row>
    <row r="39" spans="1:9" ht="78.75" x14ac:dyDescent="0.25">
      <c r="A39" s="335" t="s">
        <v>51</v>
      </c>
      <c r="B39" s="336" t="s">
        <v>75</v>
      </c>
      <c r="C39" s="69" t="s">
        <v>50</v>
      </c>
      <c r="D39" s="132" t="s">
        <v>61</v>
      </c>
      <c r="E39" s="132" t="s">
        <v>61</v>
      </c>
      <c r="F39" s="69" t="s">
        <v>61</v>
      </c>
      <c r="G39" s="379" t="s">
        <v>440</v>
      </c>
      <c r="H39" s="91" t="s">
        <v>61</v>
      </c>
      <c r="I39" s="369"/>
    </row>
    <row r="40" spans="1:9" ht="78.75" x14ac:dyDescent="0.25">
      <c r="A40" s="335" t="s">
        <v>53</v>
      </c>
      <c r="B40" s="336" t="s">
        <v>76</v>
      </c>
      <c r="C40" s="69" t="s">
        <v>50</v>
      </c>
      <c r="D40" s="132" t="s">
        <v>61</v>
      </c>
      <c r="E40" s="132" t="s">
        <v>61</v>
      </c>
      <c r="F40" s="69" t="s">
        <v>61</v>
      </c>
      <c r="G40" s="379" t="s">
        <v>440</v>
      </c>
      <c r="H40" s="91" t="s">
        <v>61</v>
      </c>
      <c r="I40" s="369"/>
    </row>
    <row r="41" spans="1:9" ht="79.5" thickBot="1" x14ac:dyDescent="0.3">
      <c r="A41" s="323" t="s">
        <v>77</v>
      </c>
      <c r="B41" s="337" t="s">
        <v>78</v>
      </c>
      <c r="C41" s="283" t="s">
        <v>73</v>
      </c>
      <c r="D41" s="338">
        <v>0.8</v>
      </c>
      <c r="E41" s="308">
        <v>0.85</v>
      </c>
      <c r="F41" s="325">
        <f>E41/D41*100</f>
        <v>106.25</v>
      </c>
      <c r="G41" s="379" t="s">
        <v>440</v>
      </c>
      <c r="H41" s="93">
        <f>E41/D41*100</f>
        <v>106.25</v>
      </c>
      <c r="I41" s="369"/>
    </row>
    <row r="42" spans="1:9" ht="77.25" customHeight="1" thickBot="1" x14ac:dyDescent="0.3">
      <c r="A42" s="549" t="s">
        <v>431</v>
      </c>
      <c r="B42" s="550"/>
      <c r="C42" s="562"/>
      <c r="D42" s="563"/>
      <c r="E42" s="563"/>
      <c r="F42" s="564"/>
      <c r="G42" s="289" t="s">
        <v>435</v>
      </c>
      <c r="H42" s="332">
        <f>AVERAGE(H37:H41)</f>
        <v>53.125</v>
      </c>
      <c r="I42" s="374"/>
    </row>
    <row r="43" spans="1:9" ht="44.25" customHeight="1" thickBot="1" x14ac:dyDescent="0.3">
      <c r="A43" s="556" t="s">
        <v>79</v>
      </c>
      <c r="B43" s="557"/>
      <c r="C43" s="557"/>
      <c r="D43" s="557"/>
      <c r="E43" s="557"/>
      <c r="F43" s="557"/>
      <c r="G43" s="557"/>
      <c r="H43" s="558"/>
      <c r="I43" s="369"/>
    </row>
    <row r="44" spans="1:9" ht="25.5" customHeight="1" thickBot="1" x14ac:dyDescent="0.3">
      <c r="A44" s="568" t="s">
        <v>80</v>
      </c>
      <c r="B44" s="569"/>
      <c r="C44" s="569"/>
      <c r="D44" s="569"/>
      <c r="E44" s="569"/>
      <c r="F44" s="569"/>
      <c r="G44" s="569"/>
      <c r="H44" s="570"/>
      <c r="I44" s="369"/>
    </row>
    <row r="45" spans="1:9" ht="30" customHeight="1" x14ac:dyDescent="0.25">
      <c r="A45" s="319" t="s">
        <v>81</v>
      </c>
      <c r="B45" s="320" t="s">
        <v>82</v>
      </c>
      <c r="C45" s="15" t="s">
        <v>83</v>
      </c>
      <c r="D45" s="279">
        <v>300.60000000000002</v>
      </c>
      <c r="E45" s="321">
        <v>307.3</v>
      </c>
      <c r="F45" s="339">
        <f>E45/D45*100</f>
        <v>102.228875582169</v>
      </c>
      <c r="G45" s="379" t="s">
        <v>439</v>
      </c>
      <c r="H45" s="322">
        <f>E45/D45*100</f>
        <v>102.228875582169</v>
      </c>
      <c r="I45" s="370"/>
    </row>
    <row r="46" spans="1:9" ht="78.75" x14ac:dyDescent="0.25">
      <c r="A46" s="314" t="s">
        <v>84</v>
      </c>
      <c r="B46" s="315" t="s">
        <v>85</v>
      </c>
      <c r="C46" s="22" t="s">
        <v>83</v>
      </c>
      <c r="D46" s="132">
        <v>376.2</v>
      </c>
      <c r="E46" s="132">
        <v>421.5</v>
      </c>
      <c r="F46" s="305">
        <f>E46/D46*100</f>
        <v>112.04146730462521</v>
      </c>
      <c r="G46" s="379" t="s">
        <v>439</v>
      </c>
      <c r="H46" s="302">
        <f>E46/D46*100</f>
        <v>112.04146730462521</v>
      </c>
      <c r="I46" s="370"/>
    </row>
    <row r="47" spans="1:9" ht="78.75" x14ac:dyDescent="0.25">
      <c r="A47" s="314" t="s">
        <v>432</v>
      </c>
      <c r="B47" s="340" t="s">
        <v>86</v>
      </c>
      <c r="C47" s="22" t="s">
        <v>83</v>
      </c>
      <c r="D47" s="132">
        <v>177</v>
      </c>
      <c r="E47" s="132">
        <v>193.2</v>
      </c>
      <c r="F47" s="305">
        <f>E47/D47*100</f>
        <v>109.15254237288134</v>
      </c>
      <c r="G47" s="379" t="s">
        <v>439</v>
      </c>
      <c r="H47" s="302">
        <f>E47/D47*100</f>
        <v>109.15254237288134</v>
      </c>
      <c r="I47" s="370"/>
    </row>
    <row r="48" spans="1:9" ht="79.5" thickBot="1" x14ac:dyDescent="0.3">
      <c r="A48" s="323" t="s">
        <v>433</v>
      </c>
      <c r="B48" s="324" t="s">
        <v>87</v>
      </c>
      <c r="C48" s="33" t="s">
        <v>83</v>
      </c>
      <c r="D48" s="277">
        <v>206.46</v>
      </c>
      <c r="E48" s="308">
        <v>272.2</v>
      </c>
      <c r="F48" s="341">
        <f>E48/D48*100</f>
        <v>131.84151893829312</v>
      </c>
      <c r="G48" s="379" t="s">
        <v>439</v>
      </c>
      <c r="H48" s="326">
        <f>E48/D48*100</f>
        <v>131.84151893829312</v>
      </c>
      <c r="I48" s="370"/>
    </row>
    <row r="49" spans="1:9" ht="29.25" customHeight="1" thickBot="1" x14ac:dyDescent="0.3">
      <c r="A49" s="565" t="s">
        <v>88</v>
      </c>
      <c r="B49" s="566"/>
      <c r="C49" s="566"/>
      <c r="D49" s="566"/>
      <c r="E49" s="566"/>
      <c r="F49" s="566"/>
      <c r="G49" s="566"/>
      <c r="H49" s="567"/>
      <c r="I49" s="369"/>
    </row>
    <row r="50" spans="1:9" ht="30.75" customHeight="1" x14ac:dyDescent="0.25">
      <c r="A50" s="319" t="s">
        <v>89</v>
      </c>
      <c r="B50" s="320" t="s">
        <v>90</v>
      </c>
      <c r="C50" s="342" t="s">
        <v>83</v>
      </c>
      <c r="D50" s="279" t="s">
        <v>61</v>
      </c>
      <c r="E50" s="321" t="s">
        <v>61</v>
      </c>
      <c r="F50" s="343" t="s">
        <v>61</v>
      </c>
      <c r="G50" s="379" t="s">
        <v>439</v>
      </c>
      <c r="H50" s="344" t="s">
        <v>61</v>
      </c>
      <c r="I50" s="369"/>
    </row>
    <row r="51" spans="1:9" ht="78.75" x14ac:dyDescent="0.25">
      <c r="A51" s="314" t="s">
        <v>91</v>
      </c>
      <c r="B51" s="301" t="s">
        <v>92</v>
      </c>
      <c r="C51" s="83" t="s">
        <v>83</v>
      </c>
      <c r="D51" s="27">
        <v>11.3</v>
      </c>
      <c r="E51" s="132">
        <v>4.7</v>
      </c>
      <c r="F51" s="305">
        <f>E51/D51*100</f>
        <v>41.592920353982301</v>
      </c>
      <c r="G51" s="379" t="s">
        <v>439</v>
      </c>
      <c r="H51" s="345">
        <f>E51/D51*100</f>
        <v>41.592920353982301</v>
      </c>
      <c r="I51" s="372"/>
    </row>
    <row r="52" spans="1:9" ht="48" customHeight="1" x14ac:dyDescent="0.25">
      <c r="A52" s="314" t="s">
        <v>94</v>
      </c>
      <c r="B52" s="315" t="s">
        <v>95</v>
      </c>
      <c r="C52" s="85" t="s">
        <v>83</v>
      </c>
      <c r="D52" s="27">
        <v>2.2570000000000001</v>
      </c>
      <c r="E52" s="132">
        <v>2.2599999999999998</v>
      </c>
      <c r="F52" s="346">
        <f>E52/D52*100</f>
        <v>100.13291980505095</v>
      </c>
      <c r="G52" s="379" t="s">
        <v>439</v>
      </c>
      <c r="H52" s="345">
        <f t="shared" ref="H52:H57" si="2">E52/D52*100</f>
        <v>100.13291980505095</v>
      </c>
      <c r="I52" s="372"/>
    </row>
    <row r="53" spans="1:9" ht="69" customHeight="1" x14ac:dyDescent="0.25">
      <c r="A53" s="314"/>
      <c r="B53" s="315" t="s">
        <v>96</v>
      </c>
      <c r="C53" s="83"/>
      <c r="D53" s="347"/>
      <c r="E53" s="132"/>
      <c r="F53" s="305"/>
      <c r="G53" s="379" t="s">
        <v>439</v>
      </c>
      <c r="H53" s="345"/>
      <c r="I53" s="372"/>
    </row>
    <row r="54" spans="1:9" ht="78.75" x14ac:dyDescent="0.25">
      <c r="A54" s="314" t="s">
        <v>97</v>
      </c>
      <c r="B54" s="315" t="s">
        <v>85</v>
      </c>
      <c r="C54" s="83" t="s">
        <v>41</v>
      </c>
      <c r="D54" s="132">
        <v>100</v>
      </c>
      <c r="E54" s="132">
        <v>100</v>
      </c>
      <c r="F54" s="69">
        <f>E54-D54</f>
        <v>0</v>
      </c>
      <c r="G54" s="379" t="s">
        <v>439</v>
      </c>
      <c r="H54" s="345">
        <f t="shared" si="2"/>
        <v>100</v>
      </c>
      <c r="I54" s="372"/>
    </row>
    <row r="55" spans="1:9" ht="78.75" x14ac:dyDescent="0.25">
      <c r="A55" s="314" t="s">
        <v>98</v>
      </c>
      <c r="B55" s="315" t="s">
        <v>99</v>
      </c>
      <c r="C55" s="83" t="s">
        <v>41</v>
      </c>
      <c r="D55" s="132">
        <v>76.5</v>
      </c>
      <c r="E55" s="132">
        <v>85</v>
      </c>
      <c r="F55" s="69">
        <f>E55-D55</f>
        <v>8.5</v>
      </c>
      <c r="G55" s="379" t="s">
        <v>439</v>
      </c>
      <c r="H55" s="345">
        <f t="shared" si="2"/>
        <v>111.11111111111111</v>
      </c>
      <c r="I55" s="372"/>
    </row>
    <row r="56" spans="1:9" ht="78.75" x14ac:dyDescent="0.25">
      <c r="A56" s="314" t="s">
        <v>100</v>
      </c>
      <c r="B56" s="315" t="s">
        <v>101</v>
      </c>
      <c r="C56" s="83" t="s">
        <v>41</v>
      </c>
      <c r="D56" s="132">
        <v>100</v>
      </c>
      <c r="E56" s="132">
        <v>100</v>
      </c>
      <c r="F56" s="69">
        <f>E56-D56</f>
        <v>0</v>
      </c>
      <c r="G56" s="379" t="s">
        <v>439</v>
      </c>
      <c r="H56" s="345">
        <f t="shared" si="2"/>
        <v>100</v>
      </c>
      <c r="I56" s="372"/>
    </row>
    <row r="57" spans="1:9" ht="79.5" thickBot="1" x14ac:dyDescent="0.3">
      <c r="A57" s="323" t="s">
        <v>102</v>
      </c>
      <c r="B57" s="324" t="s">
        <v>103</v>
      </c>
      <c r="C57" s="88" t="s">
        <v>41</v>
      </c>
      <c r="D57" s="308">
        <v>44.9</v>
      </c>
      <c r="E57" s="308">
        <v>44.9</v>
      </c>
      <c r="F57" s="325">
        <f>E57-D57</f>
        <v>0</v>
      </c>
      <c r="G57" s="379" t="s">
        <v>439</v>
      </c>
      <c r="H57" s="348">
        <f t="shared" si="2"/>
        <v>100</v>
      </c>
      <c r="I57" s="372"/>
    </row>
    <row r="58" spans="1:9" ht="83.25" customHeight="1" thickBot="1" x14ac:dyDescent="0.3">
      <c r="A58" s="549" t="s">
        <v>431</v>
      </c>
      <c r="B58" s="550"/>
      <c r="C58" s="562"/>
      <c r="D58" s="563"/>
      <c r="E58" s="563"/>
      <c r="F58" s="564"/>
      <c r="G58" s="289" t="s">
        <v>435</v>
      </c>
      <c r="H58" s="332">
        <f>AVERAGE(H45:H48,H51:H52,H54:H57)</f>
        <v>100.8101355468113</v>
      </c>
      <c r="I58" s="374"/>
    </row>
    <row r="59" spans="1:9" ht="47.25" customHeight="1" thickBot="1" x14ac:dyDescent="0.3">
      <c r="A59" s="559" t="s">
        <v>104</v>
      </c>
      <c r="B59" s="560"/>
      <c r="C59" s="560"/>
      <c r="D59" s="560"/>
      <c r="E59" s="560"/>
      <c r="F59" s="560"/>
      <c r="G59" s="560"/>
      <c r="H59" s="561"/>
      <c r="I59" s="369"/>
    </row>
    <row r="60" spans="1:9" ht="137.25" customHeight="1" x14ac:dyDescent="0.25">
      <c r="A60" s="319" t="s">
        <v>105</v>
      </c>
      <c r="B60" s="320" t="s">
        <v>106</v>
      </c>
      <c r="C60" s="15" t="s">
        <v>107</v>
      </c>
      <c r="D60" s="279">
        <v>900</v>
      </c>
      <c r="E60" s="321">
        <v>2140</v>
      </c>
      <c r="F60" s="297">
        <f>E60/D60*100</f>
        <v>237.77777777777777</v>
      </c>
      <c r="G60" s="379" t="s">
        <v>439</v>
      </c>
      <c r="H60" s="349">
        <f>E60/D60*100</f>
        <v>237.77777777777777</v>
      </c>
      <c r="I60" s="375"/>
    </row>
    <row r="61" spans="1:9" ht="56.25" customHeight="1" x14ac:dyDescent="0.25">
      <c r="A61" s="314" t="s">
        <v>109</v>
      </c>
      <c r="B61" s="315" t="s">
        <v>110</v>
      </c>
      <c r="C61" s="22" t="s">
        <v>111</v>
      </c>
      <c r="D61" s="132">
        <v>60</v>
      </c>
      <c r="E61" s="132">
        <v>56</v>
      </c>
      <c r="F61" s="346">
        <f>E61/D61*100</f>
        <v>93.333333333333329</v>
      </c>
      <c r="G61" s="379" t="s">
        <v>439</v>
      </c>
      <c r="H61" s="302">
        <f>E61/D61*100</f>
        <v>93.333333333333329</v>
      </c>
      <c r="I61" s="370"/>
    </row>
    <row r="62" spans="1:9" ht="53.25" customHeight="1" x14ac:dyDescent="0.25">
      <c r="A62" s="314" t="s">
        <v>113</v>
      </c>
      <c r="B62" s="315" t="s">
        <v>114</v>
      </c>
      <c r="C62" s="22" t="s">
        <v>111</v>
      </c>
      <c r="D62" s="132">
        <v>0.8</v>
      </c>
      <c r="E62" s="132">
        <v>0.8</v>
      </c>
      <c r="F62" s="346">
        <f>E62/D62*100</f>
        <v>100</v>
      </c>
      <c r="G62" s="379" t="s">
        <v>439</v>
      </c>
      <c r="H62" s="302">
        <f>E62/D62*100</f>
        <v>100</v>
      </c>
      <c r="I62" s="370"/>
    </row>
    <row r="63" spans="1:9" ht="37.5" customHeight="1" x14ac:dyDescent="0.25">
      <c r="A63" s="314" t="s">
        <v>115</v>
      </c>
      <c r="B63" s="315" t="s">
        <v>116</v>
      </c>
      <c r="C63" s="22" t="s">
        <v>111</v>
      </c>
      <c r="D63" s="132">
        <v>113.2</v>
      </c>
      <c r="E63" s="132">
        <v>119.1</v>
      </c>
      <c r="F63" s="305">
        <f>E63/D63*100</f>
        <v>105.21201413427561</v>
      </c>
      <c r="G63" s="379" t="s">
        <v>439</v>
      </c>
      <c r="H63" s="345">
        <f>E63/D63*100</f>
        <v>105.21201413427561</v>
      </c>
      <c r="I63" s="372"/>
    </row>
    <row r="64" spans="1:9" ht="78.75" x14ac:dyDescent="0.25">
      <c r="A64" s="314" t="s">
        <v>117</v>
      </c>
      <c r="B64" s="315" t="s">
        <v>118</v>
      </c>
      <c r="C64" s="22" t="s">
        <v>119</v>
      </c>
      <c r="D64" s="132">
        <v>343</v>
      </c>
      <c r="E64" s="132">
        <v>302.39999999999998</v>
      </c>
      <c r="F64" s="305">
        <f>E64/D64*100</f>
        <v>88.16326530612244</v>
      </c>
      <c r="G64" s="379" t="s">
        <v>439</v>
      </c>
      <c r="H64" s="302">
        <f>E64/D64*100</f>
        <v>88.16326530612244</v>
      </c>
      <c r="I64" s="370"/>
    </row>
    <row r="65" spans="1:9" ht="78.75" x14ac:dyDescent="0.25">
      <c r="A65" s="314"/>
      <c r="B65" s="315" t="s">
        <v>96</v>
      </c>
      <c r="C65" s="22"/>
      <c r="D65" s="347"/>
      <c r="E65" s="132"/>
      <c r="F65" s="69"/>
      <c r="G65" s="379" t="s">
        <v>439</v>
      </c>
      <c r="H65" s="285"/>
      <c r="I65" s="368"/>
    </row>
    <row r="66" spans="1:9" ht="22.5" customHeight="1" x14ac:dyDescent="0.25">
      <c r="A66" s="314" t="s">
        <v>122</v>
      </c>
      <c r="B66" s="315" t="s">
        <v>123</v>
      </c>
      <c r="C66" s="22" t="s">
        <v>41</v>
      </c>
      <c r="D66" s="132">
        <v>37.700000000000003</v>
      </c>
      <c r="E66" s="132">
        <v>40.5</v>
      </c>
      <c r="F66" s="69">
        <f>E66-D66</f>
        <v>2.7999999999999972</v>
      </c>
      <c r="G66" s="379" t="s">
        <v>439</v>
      </c>
      <c r="H66" s="302">
        <f>E66/D66*100</f>
        <v>107.42705570291777</v>
      </c>
      <c r="I66" s="370"/>
    </row>
    <row r="67" spans="1:9" ht="29.25" customHeight="1" x14ac:dyDescent="0.25">
      <c r="A67" s="314" t="s">
        <v>124</v>
      </c>
      <c r="B67" s="315" t="s">
        <v>125</v>
      </c>
      <c r="C67" s="22" t="s">
        <v>41</v>
      </c>
      <c r="D67" s="132">
        <v>44</v>
      </c>
      <c r="E67" s="132">
        <v>38</v>
      </c>
      <c r="F67" s="69">
        <f>E67-D67</f>
        <v>-6</v>
      </c>
      <c r="G67" s="379" t="s">
        <v>439</v>
      </c>
      <c r="H67" s="302">
        <f>E67/D67*100</f>
        <v>86.36363636363636</v>
      </c>
      <c r="I67" s="370"/>
    </row>
    <row r="68" spans="1:9" ht="78.75" x14ac:dyDescent="0.25">
      <c r="A68" s="314" t="s">
        <v>126</v>
      </c>
      <c r="B68" s="315" t="s">
        <v>127</v>
      </c>
      <c r="C68" s="22" t="s">
        <v>41</v>
      </c>
      <c r="D68" s="132">
        <v>77.2</v>
      </c>
      <c r="E68" s="132">
        <v>65</v>
      </c>
      <c r="F68" s="69">
        <f>E68-D68</f>
        <v>-12.200000000000003</v>
      </c>
      <c r="G68" s="379" t="s">
        <v>439</v>
      </c>
      <c r="H68" s="302">
        <f>E68/D68*100</f>
        <v>84.196891191709838</v>
      </c>
      <c r="I68" s="370"/>
    </row>
    <row r="69" spans="1:9" ht="45" customHeight="1" x14ac:dyDescent="0.25">
      <c r="A69" s="314" t="s">
        <v>128</v>
      </c>
      <c r="B69" s="315" t="s">
        <v>129</v>
      </c>
      <c r="C69" s="22" t="s">
        <v>130</v>
      </c>
      <c r="D69" s="27">
        <v>160</v>
      </c>
      <c r="E69" s="132">
        <v>184</v>
      </c>
      <c r="F69" s="346">
        <f>E69/D69*100</f>
        <v>114.99999999999999</v>
      </c>
      <c r="G69" s="379" t="s">
        <v>439</v>
      </c>
      <c r="H69" s="350">
        <f>E69/D69*100</f>
        <v>114.99999999999999</v>
      </c>
      <c r="I69" s="376"/>
    </row>
    <row r="70" spans="1:9" ht="53.25" customHeight="1" thickBot="1" x14ac:dyDescent="0.3">
      <c r="A70" s="316" t="s">
        <v>131</v>
      </c>
      <c r="B70" s="351" t="s">
        <v>132</v>
      </c>
      <c r="C70" s="50" t="s">
        <v>41</v>
      </c>
      <c r="D70" s="277" t="s">
        <v>61</v>
      </c>
      <c r="E70" s="308" t="s">
        <v>61</v>
      </c>
      <c r="F70" s="352" t="s">
        <v>61</v>
      </c>
      <c r="G70" s="379" t="s">
        <v>439</v>
      </c>
      <c r="H70" s="353" t="s">
        <v>61</v>
      </c>
      <c r="I70" s="369"/>
    </row>
    <row r="71" spans="1:9" ht="90.75" customHeight="1" thickBot="1" x14ac:dyDescent="0.3">
      <c r="A71" s="549" t="s">
        <v>431</v>
      </c>
      <c r="B71" s="550"/>
      <c r="C71" s="551"/>
      <c r="D71" s="552"/>
      <c r="E71" s="552"/>
      <c r="F71" s="553"/>
      <c r="G71" s="289" t="s">
        <v>435</v>
      </c>
      <c r="H71" s="318">
        <f>AVERAGE(H60:H64,H66:H69)</f>
        <v>113.05266375664145</v>
      </c>
      <c r="I71" s="373"/>
    </row>
    <row r="72" spans="1:9" ht="23.25" customHeight="1" thickBot="1" x14ac:dyDescent="0.3">
      <c r="A72" s="565" t="s">
        <v>133</v>
      </c>
      <c r="B72" s="566"/>
      <c r="C72" s="566"/>
      <c r="D72" s="566"/>
      <c r="E72" s="566"/>
      <c r="F72" s="566"/>
      <c r="G72" s="566"/>
      <c r="H72" s="567"/>
      <c r="I72" s="369"/>
    </row>
    <row r="73" spans="1:9" ht="78.75" x14ac:dyDescent="0.25">
      <c r="A73" s="319" t="s">
        <v>134</v>
      </c>
      <c r="B73" s="320" t="s">
        <v>135</v>
      </c>
      <c r="C73" s="15" t="s">
        <v>50</v>
      </c>
      <c r="D73" s="279">
        <v>16</v>
      </c>
      <c r="E73" s="321">
        <v>36</v>
      </c>
      <c r="F73" s="354">
        <f>E73/D73*100</f>
        <v>225</v>
      </c>
      <c r="G73" s="380" t="s">
        <v>439</v>
      </c>
      <c r="H73" s="322">
        <f>E73/D73*100</f>
        <v>225</v>
      </c>
      <c r="I73" s="370"/>
    </row>
    <row r="74" spans="1:9" ht="79.5" thickBot="1" x14ac:dyDescent="0.3">
      <c r="A74" s="316" t="s">
        <v>136</v>
      </c>
      <c r="B74" s="317" t="s">
        <v>137</v>
      </c>
      <c r="C74" s="50" t="s">
        <v>50</v>
      </c>
      <c r="D74" s="277">
        <v>5</v>
      </c>
      <c r="E74" s="308">
        <v>8</v>
      </c>
      <c r="F74" s="355">
        <f>E74/D74*100</f>
        <v>160</v>
      </c>
      <c r="G74" s="379" t="s">
        <v>439</v>
      </c>
      <c r="H74" s="356">
        <f>E74/D74*100</f>
        <v>160</v>
      </c>
      <c r="I74" s="370"/>
    </row>
    <row r="75" spans="1:9" ht="75" customHeight="1" thickBot="1" x14ac:dyDescent="0.3">
      <c r="A75" s="549" t="s">
        <v>431</v>
      </c>
      <c r="B75" s="550"/>
      <c r="C75" s="551"/>
      <c r="D75" s="552"/>
      <c r="E75" s="552"/>
      <c r="F75" s="553"/>
      <c r="G75" s="289" t="s">
        <v>435</v>
      </c>
      <c r="H75" s="332">
        <f>AVERAGE(H73:H74)</f>
        <v>192.5</v>
      </c>
      <c r="I75" s="374"/>
    </row>
    <row r="76" spans="1:9" ht="46.5" customHeight="1" thickBot="1" x14ac:dyDescent="0.3">
      <c r="A76" s="556" t="s">
        <v>138</v>
      </c>
      <c r="B76" s="557"/>
      <c r="C76" s="557"/>
      <c r="D76" s="557"/>
      <c r="E76" s="557"/>
      <c r="F76" s="557"/>
      <c r="G76" s="557"/>
      <c r="H76" s="558"/>
      <c r="I76" s="369"/>
    </row>
    <row r="77" spans="1:9" ht="85.5" customHeight="1" thickBot="1" x14ac:dyDescent="0.3">
      <c r="A77" s="357" t="s">
        <v>139</v>
      </c>
      <c r="B77" s="358" t="s">
        <v>140</v>
      </c>
      <c r="C77" s="359" t="s">
        <v>59</v>
      </c>
      <c r="D77" s="284">
        <v>18500</v>
      </c>
      <c r="E77" s="360">
        <v>18360</v>
      </c>
      <c r="F77" s="361">
        <f>E77/D77*100</f>
        <v>99.243243243243242</v>
      </c>
      <c r="G77" s="379" t="s">
        <v>439</v>
      </c>
      <c r="H77" s="362">
        <f>E77/D77*100</f>
        <v>99.243243243243242</v>
      </c>
      <c r="I77" s="372"/>
    </row>
    <row r="78" spans="1:9" ht="75.75" thickBot="1" x14ac:dyDescent="0.3">
      <c r="A78" s="549" t="s">
        <v>431</v>
      </c>
      <c r="B78" s="550"/>
      <c r="C78" s="551"/>
      <c r="D78" s="552"/>
      <c r="E78" s="552"/>
      <c r="F78" s="553"/>
      <c r="G78" s="289" t="s">
        <v>435</v>
      </c>
      <c r="H78" s="318">
        <f>AVERAGE(H77)</f>
        <v>99.243243243243242</v>
      </c>
      <c r="I78" s="373"/>
    </row>
    <row r="79" spans="1:9" ht="35.25" customHeight="1" thickBot="1" x14ac:dyDescent="0.3">
      <c r="A79" s="559" t="s">
        <v>141</v>
      </c>
      <c r="B79" s="560"/>
      <c r="C79" s="560"/>
      <c r="D79" s="560"/>
      <c r="E79" s="560"/>
      <c r="F79" s="560"/>
      <c r="G79" s="560"/>
      <c r="H79" s="561"/>
      <c r="I79" s="369"/>
    </row>
    <row r="80" spans="1:9" ht="51" customHeight="1" x14ac:dyDescent="0.25">
      <c r="A80" s="319" t="s">
        <v>142</v>
      </c>
      <c r="B80" s="320" t="s">
        <v>143</v>
      </c>
      <c r="C80" s="15" t="s">
        <v>144</v>
      </c>
      <c r="D80" s="279" t="s">
        <v>61</v>
      </c>
      <c r="E80" s="321">
        <v>6261.5</v>
      </c>
      <c r="F80" s="339" t="s">
        <v>61</v>
      </c>
      <c r="G80" s="354"/>
      <c r="H80" s="322" t="s">
        <v>61</v>
      </c>
      <c r="I80" s="370"/>
    </row>
    <row r="81" spans="1:9" ht="60.75" customHeight="1" x14ac:dyDescent="0.25">
      <c r="A81" s="314" t="s">
        <v>146</v>
      </c>
      <c r="B81" s="315" t="s">
        <v>147</v>
      </c>
      <c r="C81" s="22" t="s">
        <v>144</v>
      </c>
      <c r="D81" s="27" t="s">
        <v>61</v>
      </c>
      <c r="E81" s="132">
        <v>2924.2</v>
      </c>
      <c r="F81" s="363" t="s">
        <v>61</v>
      </c>
      <c r="G81" s="378"/>
      <c r="H81" s="299" t="s">
        <v>61</v>
      </c>
      <c r="I81" s="370"/>
    </row>
    <row r="82" spans="1:9" ht="23.25" customHeight="1" x14ac:dyDescent="0.25">
      <c r="A82" s="314" t="s">
        <v>148</v>
      </c>
      <c r="B82" s="315" t="s">
        <v>149</v>
      </c>
      <c r="C82" s="22" t="s">
        <v>50</v>
      </c>
      <c r="D82" s="27" t="s">
        <v>61</v>
      </c>
      <c r="E82" s="132">
        <v>90</v>
      </c>
      <c r="F82" s="363" t="s">
        <v>61</v>
      </c>
      <c r="G82" s="378"/>
      <c r="H82" s="299" t="s">
        <v>61</v>
      </c>
      <c r="I82" s="370"/>
    </row>
    <row r="83" spans="1:9" ht="64.5" customHeight="1" x14ac:dyDescent="0.25">
      <c r="A83" s="314" t="s">
        <v>150</v>
      </c>
      <c r="B83" s="315" t="s">
        <v>147</v>
      </c>
      <c r="C83" s="22" t="s">
        <v>50</v>
      </c>
      <c r="D83" s="278" t="s">
        <v>61</v>
      </c>
      <c r="E83" s="136">
        <v>52</v>
      </c>
      <c r="F83" s="363" t="s">
        <v>61</v>
      </c>
      <c r="G83" s="378"/>
      <c r="H83" s="299" t="s">
        <v>61</v>
      </c>
      <c r="I83" s="370"/>
    </row>
    <row r="84" spans="1:9" ht="64.5" customHeight="1" x14ac:dyDescent="0.25">
      <c r="A84" s="314" t="s">
        <v>151</v>
      </c>
      <c r="B84" s="315" t="s">
        <v>152</v>
      </c>
      <c r="C84" s="22" t="s">
        <v>50</v>
      </c>
      <c r="D84" s="22" t="s">
        <v>61</v>
      </c>
      <c r="E84" s="69" t="s">
        <v>61</v>
      </c>
      <c r="F84" s="363" t="s">
        <v>61</v>
      </c>
      <c r="G84" s="378"/>
      <c r="H84" s="299" t="s">
        <v>61</v>
      </c>
      <c r="I84" s="370"/>
    </row>
    <row r="85" spans="1:9" ht="82.5" customHeight="1" thickBot="1" x14ac:dyDescent="0.3">
      <c r="A85" s="314" t="s">
        <v>153</v>
      </c>
      <c r="B85" s="315" t="s">
        <v>154</v>
      </c>
      <c r="C85" s="22" t="s">
        <v>41</v>
      </c>
      <c r="D85" s="22" t="s">
        <v>61</v>
      </c>
      <c r="E85" s="69" t="s">
        <v>61</v>
      </c>
      <c r="F85" s="69" t="s">
        <v>61</v>
      </c>
      <c r="G85" s="377"/>
      <c r="H85" s="299" t="s">
        <v>61</v>
      </c>
      <c r="I85" s="370"/>
    </row>
    <row r="86" spans="1:9" ht="36.75" customHeight="1" thickBot="1" x14ac:dyDescent="0.3">
      <c r="A86" s="549" t="s">
        <v>431</v>
      </c>
      <c r="B86" s="550"/>
      <c r="C86" s="551"/>
      <c r="D86" s="552"/>
      <c r="E86" s="552"/>
      <c r="F86" s="553"/>
      <c r="G86" s="288"/>
      <c r="H86" s="318" t="s">
        <v>61</v>
      </c>
      <c r="I86" s="373"/>
    </row>
  </sheetData>
  <mergeCells count="48">
    <mergeCell ref="A6:H6"/>
    <mergeCell ref="A1:H1"/>
    <mergeCell ref="A2:H2"/>
    <mergeCell ref="A3:H3"/>
    <mergeCell ref="A4:H4"/>
    <mergeCell ref="A5:H5"/>
    <mergeCell ref="A28:B28"/>
    <mergeCell ref="C28:F28"/>
    <mergeCell ref="A7:H7"/>
    <mergeCell ref="A8:A10"/>
    <mergeCell ref="B8:B10"/>
    <mergeCell ref="C8:C10"/>
    <mergeCell ref="D8:E8"/>
    <mergeCell ref="F8:F10"/>
    <mergeCell ref="H8:H10"/>
    <mergeCell ref="D9:E9"/>
    <mergeCell ref="A12:H12"/>
    <mergeCell ref="A13:H13"/>
    <mergeCell ref="A23:B23"/>
    <mergeCell ref="C23:F23"/>
    <mergeCell ref="A24:H24"/>
    <mergeCell ref="A29:H29"/>
    <mergeCell ref="A32:B32"/>
    <mergeCell ref="C32:F32"/>
    <mergeCell ref="A33:H33"/>
    <mergeCell ref="A35:B35"/>
    <mergeCell ref="C35:F35"/>
    <mergeCell ref="A42:B42"/>
    <mergeCell ref="C42:F42"/>
    <mergeCell ref="A43:H43"/>
    <mergeCell ref="A44:H44"/>
    <mergeCell ref="A49:H49"/>
    <mergeCell ref="A86:B86"/>
    <mergeCell ref="C86:F86"/>
    <mergeCell ref="G8:G10"/>
    <mergeCell ref="A75:B75"/>
    <mergeCell ref="C75:F75"/>
    <mergeCell ref="A76:H76"/>
    <mergeCell ref="A78:B78"/>
    <mergeCell ref="C78:F78"/>
    <mergeCell ref="A79:H79"/>
    <mergeCell ref="A58:B58"/>
    <mergeCell ref="C58:F58"/>
    <mergeCell ref="A59:H59"/>
    <mergeCell ref="A71:B71"/>
    <mergeCell ref="C71:F71"/>
    <mergeCell ref="A72:H72"/>
    <mergeCell ref="A36:H36"/>
  </mergeCells>
  <pageMargins left="0.16" right="0.16" top="0.28000000000000003" bottom="0.19" header="0.16" footer="0.17"/>
  <pageSetup paperSize="9" scale="8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Приложение 9 </vt:lpstr>
      <vt:lpstr>Приложение 10</vt:lpstr>
      <vt:lpstr>Приложение 12</vt:lpstr>
      <vt:lpstr>Приложение 13</vt:lpstr>
      <vt:lpstr>Эффективность программы</vt:lpstr>
      <vt:lpstr>'Приложение 10'!Заголовки_для_печати</vt:lpstr>
      <vt:lpstr>'Приложение 12'!Заголовки_для_печати</vt:lpstr>
      <vt:lpstr>'Приложение 13'!Заголовки_для_печати</vt:lpstr>
      <vt:lpstr>'Приложение 9 '!Заголовки_для_печати</vt:lpstr>
      <vt:lpstr>'Эффективность программы'!Заголовки_для_печати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Сакун Анна Сергеевна</dc:creator>
  <cp:lastModifiedBy>Мартынова Оксана Викторовна</cp:lastModifiedBy>
  <cp:lastPrinted>2015-10-14T23:37:42Z</cp:lastPrinted>
  <dcterms:created xsi:type="dcterms:W3CDTF">2015-03-20T03:21:03Z</dcterms:created>
  <dcterms:modified xsi:type="dcterms:W3CDTF">2015-10-14T23:38:13Z</dcterms:modified>
</cp:coreProperties>
</file>